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cobb\Dropbox (IPWEA)\Water Directorate\Data - Water Directorate\Newsletters &amp; News articles\2019\"/>
    </mc:Choice>
  </mc:AlternateContent>
  <bookViews>
    <workbookView xWindow="120" yWindow="36" windowWidth="19020" windowHeight="12408" tabRatio="599"/>
  </bookViews>
  <sheets>
    <sheet name="OVERVIEW" sheetId="17" r:id="rId1"/>
    <sheet name="Instructions" sheetId="11" r:id="rId2"/>
    <sheet name="Emissions" sheetId="4" r:id="rId3"/>
    <sheet name="STW 1" sheetId="108" r:id="rId4"/>
    <sheet name="STW Graphs" sheetId="14" r:id="rId5"/>
    <sheet name="STW Assumptions" sheetId="82" r:id="rId6"/>
    <sheet name="Example" sheetId="16" r:id="rId7"/>
    <sheet name="Example STW" sheetId="128" r:id="rId8"/>
    <sheet name="Emission Source Examples" sheetId="13" r:id="rId9"/>
    <sheet name="STW 2" sheetId="132" r:id="rId10"/>
    <sheet name="STW 3" sheetId="130" r:id="rId11"/>
    <sheet name="STW 4" sheetId="131" r:id="rId12"/>
    <sheet name="STW 5" sheetId="133" r:id="rId13"/>
    <sheet name="STW 6" sheetId="134" r:id="rId14"/>
    <sheet name="STW 7" sheetId="136" r:id="rId15"/>
    <sheet name="STW 8" sheetId="137" r:id="rId16"/>
    <sheet name="STW 9" sheetId="138" r:id="rId17"/>
    <sheet name="STW 10" sheetId="129" r:id="rId18"/>
  </sheets>
  <definedNames>
    <definedName name="_xlnm.Print_Area" localSheetId="8">'Emission Source Examples'!$A$1:$D$13</definedName>
    <definedName name="_xlnm.Print_Area" localSheetId="2">Emissions!$B$1:$K$83</definedName>
    <definedName name="_xlnm.Print_Area" localSheetId="6">Example!$B$1:$K$82</definedName>
    <definedName name="_xlnm.Print_Area" localSheetId="7">'Example STW'!$A$1:$O$183</definedName>
    <definedName name="_xlnm.Print_Area" localSheetId="1">Instructions!$A$1:$L$33</definedName>
    <definedName name="_xlnm.Print_Area" localSheetId="0">OVERVIEW!$A$1:$M$27</definedName>
    <definedName name="_xlnm.Print_Area" localSheetId="3">'STW 1'!$A$1:$O$183</definedName>
    <definedName name="_xlnm.Print_Area" localSheetId="17">'STW 10'!$A$1:$O$183</definedName>
    <definedName name="_xlnm.Print_Area" localSheetId="9">'STW 2'!$A$1:$O$183</definedName>
    <definedName name="_xlnm.Print_Area" localSheetId="10">'STW 3'!$A$1:$O$183</definedName>
    <definedName name="_xlnm.Print_Area" localSheetId="11">'STW 4'!$A$1:$O$183</definedName>
    <definedName name="_xlnm.Print_Area" localSheetId="12">'STW 5'!$A$1:$O$183</definedName>
    <definedName name="_xlnm.Print_Area" localSheetId="13">'STW 6'!$A$1:$O$183</definedName>
    <definedName name="_xlnm.Print_Area" localSheetId="14">'STW 7'!$A$1:$O$183</definedName>
    <definedName name="_xlnm.Print_Area" localSheetId="15">'STW 8'!$A$1:$O$183</definedName>
    <definedName name="_xlnm.Print_Area" localSheetId="16">'STW 9'!$A$1:$O$183</definedName>
    <definedName name="_xlnm.Print_Area" localSheetId="5">'STW Assumptions'!$A$1:$O$128</definedName>
    <definedName name="_xlnm.Print_Area" localSheetId="4">'STW Graphs'!$A$1:$O$85</definedName>
    <definedName name="_xlnm.Print_Titles" localSheetId="2">Emissions!$B:$B,Emissions!$10:$12</definedName>
    <definedName name="_xlnm.Print_Titles" localSheetId="6">Example!$B:$B,Example!$17:$19</definedName>
    <definedName name="_xlnm.Print_Titles" localSheetId="7">'Example STW'!#REF!</definedName>
    <definedName name="_xlnm.Print_Titles" localSheetId="3">'STW 1'!#REF!</definedName>
    <definedName name="_xlnm.Print_Titles" localSheetId="17">'STW 10'!#REF!</definedName>
    <definedName name="_xlnm.Print_Titles" localSheetId="9">'STW 2'!#REF!</definedName>
    <definedName name="_xlnm.Print_Titles" localSheetId="10">'STW 3'!#REF!</definedName>
    <definedName name="_xlnm.Print_Titles" localSheetId="11">'STW 4'!#REF!</definedName>
    <definedName name="_xlnm.Print_Titles" localSheetId="12">'STW 5'!#REF!</definedName>
    <definedName name="_xlnm.Print_Titles" localSheetId="13">'STW 6'!#REF!</definedName>
    <definedName name="_xlnm.Print_Titles" localSheetId="14">'STW 7'!#REF!</definedName>
    <definedName name="_xlnm.Print_Titles" localSheetId="15">'STW 8'!#REF!</definedName>
    <definedName name="_xlnm.Print_Titles" localSheetId="16">'STW 9'!#REF!</definedName>
    <definedName name="_xlnm.Print_Titles" localSheetId="5">'STW Assumptions'!#REF!</definedName>
    <definedName name="Table_1" localSheetId="7">#REF!</definedName>
    <definedName name="Table_1" localSheetId="17">#REF!</definedName>
    <definedName name="Table_1" localSheetId="9">#REF!</definedName>
    <definedName name="Table_1" localSheetId="10">#REF!</definedName>
    <definedName name="Table_1" localSheetId="11">#REF!</definedName>
    <definedName name="Table_1" localSheetId="12">#REF!</definedName>
    <definedName name="Table_1" localSheetId="13">#REF!</definedName>
    <definedName name="Table_1" localSheetId="14">#REF!</definedName>
    <definedName name="Table_1" localSheetId="15">#REF!</definedName>
    <definedName name="Table_1" localSheetId="16">#REF!</definedName>
    <definedName name="Table_1">#REF!</definedName>
    <definedName name="Table_2" localSheetId="7">#REF!</definedName>
    <definedName name="Table_2" localSheetId="17">#REF!</definedName>
    <definedName name="Table_2" localSheetId="9">#REF!</definedName>
    <definedName name="Table_2" localSheetId="10">#REF!</definedName>
    <definedName name="Table_2" localSheetId="11">#REF!</definedName>
    <definedName name="Table_2" localSheetId="12">#REF!</definedName>
    <definedName name="Table_2" localSheetId="13">#REF!</definedName>
    <definedName name="Table_2" localSheetId="14">#REF!</definedName>
    <definedName name="Table_2" localSheetId="15">#REF!</definedName>
    <definedName name="Table_2" localSheetId="16">#REF!</definedName>
    <definedName name="Table_2">#REF!</definedName>
    <definedName name="Table_3" localSheetId="7">#REF!</definedName>
    <definedName name="Table_3" localSheetId="17">#REF!</definedName>
    <definedName name="Table_3" localSheetId="9">#REF!</definedName>
    <definedName name="Table_3" localSheetId="10">#REF!</definedName>
    <definedName name="Table_3" localSheetId="11">#REF!</definedName>
    <definedName name="Table_3" localSheetId="12">#REF!</definedName>
    <definedName name="Table_3" localSheetId="13">#REF!</definedName>
    <definedName name="Table_3" localSheetId="14">#REF!</definedName>
    <definedName name="Table_3" localSheetId="15">#REF!</definedName>
    <definedName name="Table_3" localSheetId="16">#REF!</definedName>
    <definedName name="Table_3">#REF!</definedName>
    <definedName name="Table_4" localSheetId="7">#REF!</definedName>
    <definedName name="Table_4" localSheetId="17">#REF!</definedName>
    <definedName name="Table_4" localSheetId="9">#REF!</definedName>
    <definedName name="Table_4" localSheetId="10">#REF!</definedName>
    <definedName name="Table_4" localSheetId="11">#REF!</definedName>
    <definedName name="Table_4" localSheetId="12">#REF!</definedName>
    <definedName name="Table_4" localSheetId="13">#REF!</definedName>
    <definedName name="Table_4" localSheetId="14">#REF!</definedName>
    <definedName name="Table_4" localSheetId="15">#REF!</definedName>
    <definedName name="Table_4" localSheetId="16">#REF!</definedName>
    <definedName name="Table_4">#REF!</definedName>
  </definedNames>
  <calcPr calcId="152511"/>
</workbook>
</file>

<file path=xl/calcChain.xml><?xml version="1.0" encoding="utf-8"?>
<calcChain xmlns="http://schemas.openxmlformats.org/spreadsheetml/2006/main">
  <c r="Y15" i="4" l="1"/>
  <c r="Y16" i="4"/>
  <c r="Y14" i="4"/>
  <c r="T9" i="4" l="1"/>
  <c r="B139" i="138" l="1"/>
  <c r="N130" i="138"/>
  <c r="N128" i="138"/>
  <c r="N103" i="138"/>
  <c r="N74" i="138"/>
  <c r="N60" i="138"/>
  <c r="N16" i="138"/>
  <c r="N28" i="138" s="1"/>
  <c r="N14" i="138"/>
  <c r="B139" i="137"/>
  <c r="N130" i="137"/>
  <c r="N128" i="137"/>
  <c r="N103" i="137"/>
  <c r="N74" i="137"/>
  <c r="N60" i="137"/>
  <c r="N16" i="137"/>
  <c r="N28" i="137" s="1"/>
  <c r="N14" i="137"/>
  <c r="B139" i="136"/>
  <c r="N130" i="136"/>
  <c r="N128" i="136"/>
  <c r="N103" i="136"/>
  <c r="N74" i="136"/>
  <c r="N60" i="136"/>
  <c r="N16" i="136"/>
  <c r="N113" i="136" s="1"/>
  <c r="N14" i="136"/>
  <c r="B139" i="134"/>
  <c r="N130" i="134"/>
  <c r="N128" i="134"/>
  <c r="N103" i="134"/>
  <c r="N74" i="134"/>
  <c r="N60" i="134"/>
  <c r="N16" i="134"/>
  <c r="N113" i="134" s="1"/>
  <c r="N14" i="134"/>
  <c r="B139" i="133"/>
  <c r="N130" i="133"/>
  <c r="N128" i="133"/>
  <c r="N103" i="133"/>
  <c r="N74" i="133"/>
  <c r="N60" i="133"/>
  <c r="N16" i="133"/>
  <c r="N113" i="133" s="1"/>
  <c r="N14" i="133"/>
  <c r="B139" i="132"/>
  <c r="N130" i="132"/>
  <c r="N128" i="132"/>
  <c r="N103" i="132"/>
  <c r="N74" i="132"/>
  <c r="N60" i="132"/>
  <c r="N16" i="132"/>
  <c r="N113" i="132" s="1"/>
  <c r="N14" i="132"/>
  <c r="B139" i="131"/>
  <c r="N130" i="131"/>
  <c r="N128" i="131"/>
  <c r="N103" i="131"/>
  <c r="N74" i="131"/>
  <c r="N60" i="131"/>
  <c r="N16" i="131"/>
  <c r="N113" i="131" s="1"/>
  <c r="N14" i="131"/>
  <c r="B139" i="130"/>
  <c r="N130" i="130"/>
  <c r="N128" i="130"/>
  <c r="N103" i="130"/>
  <c r="N74" i="130"/>
  <c r="N60" i="130"/>
  <c r="N28" i="130"/>
  <c r="N62" i="130" s="1"/>
  <c r="N16" i="130"/>
  <c r="N113" i="130" s="1"/>
  <c r="N14" i="130"/>
  <c r="B139" i="129"/>
  <c r="N130" i="129"/>
  <c r="N128" i="129"/>
  <c r="N103" i="129"/>
  <c r="N74" i="129"/>
  <c r="N60" i="129"/>
  <c r="N16" i="129"/>
  <c r="N28" i="129" s="1"/>
  <c r="N14" i="129"/>
  <c r="B139" i="128"/>
  <c r="N130" i="128"/>
  <c r="N128" i="128"/>
  <c r="N103" i="128"/>
  <c r="N74" i="128"/>
  <c r="N60" i="128"/>
  <c r="N16" i="128"/>
  <c r="N113" i="128" s="1"/>
  <c r="N14" i="128"/>
  <c r="N28" i="133" l="1"/>
  <c r="N62" i="133" s="1"/>
  <c r="N28" i="128"/>
  <c r="N62" i="128" s="1"/>
  <c r="N113" i="129"/>
  <c r="N33" i="129"/>
  <c r="N113" i="138"/>
  <c r="N62" i="138"/>
  <c r="N118" i="138" s="1"/>
  <c r="N122" i="138" s="1"/>
  <c r="N113" i="137"/>
  <c r="N28" i="136"/>
  <c r="N33" i="136" s="1"/>
  <c r="N33" i="138"/>
  <c r="N33" i="137"/>
  <c r="N62" i="137"/>
  <c r="N62" i="136"/>
  <c r="N28" i="134"/>
  <c r="N118" i="133"/>
  <c r="N122" i="133" s="1"/>
  <c r="N125" i="133" s="1"/>
  <c r="N132" i="133" s="1"/>
  <c r="N82" i="133"/>
  <c r="N33" i="133"/>
  <c r="N37" i="133" s="1"/>
  <c r="N28" i="132"/>
  <c r="N28" i="131"/>
  <c r="N118" i="130"/>
  <c r="N122" i="130" s="1"/>
  <c r="N125" i="130" s="1"/>
  <c r="N132" i="130" s="1"/>
  <c r="N82" i="130"/>
  <c r="N33" i="130"/>
  <c r="N37" i="130" s="1"/>
  <c r="N62" i="129"/>
  <c r="D123" i="14"/>
  <c r="D124" i="14"/>
  <c r="D125" i="14"/>
  <c r="D126" i="14"/>
  <c r="D122" i="14"/>
  <c r="E113" i="14"/>
  <c r="E111" i="14"/>
  <c r="G152" i="14"/>
  <c r="G151" i="14"/>
  <c r="G150" i="14"/>
  <c r="G149" i="14"/>
  <c r="G148" i="14"/>
  <c r="G147" i="14"/>
  <c r="G146" i="14"/>
  <c r="G145" i="14"/>
  <c r="G144" i="14"/>
  <c r="G143" i="14"/>
  <c r="G142" i="14"/>
  <c r="G141" i="14"/>
  <c r="G140" i="14"/>
  <c r="G139" i="14"/>
  <c r="G138" i="14"/>
  <c r="G137" i="14"/>
  <c r="G136" i="14"/>
  <c r="G135" i="14"/>
  <c r="G134" i="14"/>
  <c r="G133" i="14"/>
  <c r="B139" i="108"/>
  <c r="N33" i="128" l="1"/>
  <c r="N37" i="128" s="1"/>
  <c r="N82" i="138"/>
  <c r="N37" i="136"/>
  <c r="N92" i="133"/>
  <c r="N108" i="133" s="1"/>
  <c r="N125" i="138"/>
  <c r="N132" i="138" s="1"/>
  <c r="N135" i="138" s="1"/>
  <c r="N37" i="138"/>
  <c r="N92" i="138" s="1"/>
  <c r="N108" i="138" s="1"/>
  <c r="N140" i="138" s="1"/>
  <c r="I73" i="4" s="1"/>
  <c r="N135" i="133"/>
  <c r="N140" i="133" s="1"/>
  <c r="I69" i="4" s="1"/>
  <c r="N92" i="130"/>
  <c r="N108" i="130" s="1"/>
  <c r="N135" i="130"/>
  <c r="N118" i="137"/>
  <c r="N122" i="137" s="1"/>
  <c r="N82" i="137"/>
  <c r="N92" i="137" s="1"/>
  <c r="N108" i="137" s="1"/>
  <c r="N37" i="137"/>
  <c r="N118" i="136"/>
  <c r="N122" i="136" s="1"/>
  <c r="N82" i="136"/>
  <c r="N33" i="134"/>
  <c r="N62" i="134"/>
  <c r="N33" i="132"/>
  <c r="N62" i="132"/>
  <c r="N33" i="131"/>
  <c r="N62" i="131"/>
  <c r="N118" i="129"/>
  <c r="N122" i="129" s="1"/>
  <c r="N37" i="129"/>
  <c r="N82" i="129"/>
  <c r="N118" i="128"/>
  <c r="N122" i="128" s="1"/>
  <c r="N82" i="128"/>
  <c r="N92" i="128" s="1"/>
  <c r="N108" i="128" s="1"/>
  <c r="N130" i="108"/>
  <c r="N128" i="108"/>
  <c r="N16" i="108"/>
  <c r="N113" i="108" s="1"/>
  <c r="N103" i="108"/>
  <c r="N74" i="108"/>
  <c r="J78" i="4"/>
  <c r="J79" i="4" s="1"/>
  <c r="N24" i="16"/>
  <c r="N25" i="16"/>
  <c r="N26" i="16"/>
  <c r="N35" i="16"/>
  <c r="N36" i="16"/>
  <c r="N37" i="16"/>
  <c r="N47" i="16"/>
  <c r="N48" i="16"/>
  <c r="N49" i="16"/>
  <c r="N61" i="16"/>
  <c r="N62" i="16"/>
  <c r="N63" i="16"/>
  <c r="K15" i="4"/>
  <c r="J15" i="4"/>
  <c r="J16" i="4"/>
  <c r="I15" i="4"/>
  <c r="I16" i="4"/>
  <c r="H15" i="4"/>
  <c r="Y58" i="4"/>
  <c r="N58" i="4" s="1"/>
  <c r="N65" i="16" s="1"/>
  <c r="Y59" i="4"/>
  <c r="N59" i="4" s="1"/>
  <c r="N66" i="16" s="1"/>
  <c r="Y60" i="4"/>
  <c r="N60" i="4" s="1"/>
  <c r="N67" i="16" s="1"/>
  <c r="Y61" i="4"/>
  <c r="Y57" i="4"/>
  <c r="N57" i="4" s="1"/>
  <c r="N64" i="16" s="1"/>
  <c r="Y44" i="4"/>
  <c r="N44" i="4" s="1"/>
  <c r="N51" i="16" s="1"/>
  <c r="Y45" i="4"/>
  <c r="N45" i="4" s="1"/>
  <c r="N52" i="16" s="1"/>
  <c r="Y46" i="4"/>
  <c r="N46" i="4" s="1"/>
  <c r="N53" i="16" s="1"/>
  <c r="Y47" i="4"/>
  <c r="N47" i="4" s="1"/>
  <c r="N54" i="16" s="1"/>
  <c r="Y48" i="4"/>
  <c r="N48" i="4" s="1"/>
  <c r="N55" i="16" s="1"/>
  <c r="Y49" i="4"/>
  <c r="N49" i="4" s="1"/>
  <c r="N56" i="16" s="1"/>
  <c r="Y50" i="4"/>
  <c r="N50" i="4" s="1"/>
  <c r="N57" i="16" s="1"/>
  <c r="J57" i="16" s="1"/>
  <c r="Y51" i="4"/>
  <c r="N51" i="4" s="1"/>
  <c r="N58" i="16" s="1"/>
  <c r="Y52" i="4"/>
  <c r="N52" i="4" s="1"/>
  <c r="N59" i="16" s="1"/>
  <c r="Y53" i="4"/>
  <c r="N53" i="4" s="1"/>
  <c r="N60" i="16" s="1"/>
  <c r="Y43" i="4"/>
  <c r="N43" i="4" s="1"/>
  <c r="N50" i="16" s="1"/>
  <c r="Y32" i="4"/>
  <c r="Y33" i="4"/>
  <c r="N33" i="4" s="1"/>
  <c r="N40" i="16" s="1"/>
  <c r="Y34" i="4"/>
  <c r="N34" i="4" s="1"/>
  <c r="N41" i="16" s="1"/>
  <c r="J41" i="16" s="1"/>
  <c r="Y35" i="4"/>
  <c r="N35" i="4" s="1"/>
  <c r="N42" i="16" s="1"/>
  <c r="J42" i="16" s="1"/>
  <c r="Y36" i="4"/>
  <c r="N36" i="4" s="1"/>
  <c r="N43" i="16" s="1"/>
  <c r="Y37" i="4"/>
  <c r="N37" i="4" s="1"/>
  <c r="N44" i="16" s="1"/>
  <c r="Y38" i="4"/>
  <c r="N38" i="4" s="1"/>
  <c r="N45" i="16" s="1"/>
  <c r="Y39" i="4"/>
  <c r="N39" i="4" s="1"/>
  <c r="N46" i="16" s="1"/>
  <c r="Y31" i="4"/>
  <c r="N78" i="4"/>
  <c r="N76" i="16" s="1"/>
  <c r="J76" i="16" s="1"/>
  <c r="N61" i="4"/>
  <c r="N68" i="16" s="1"/>
  <c r="N32" i="4"/>
  <c r="N39" i="16" s="1"/>
  <c r="N31" i="4"/>
  <c r="N38" i="16" s="1"/>
  <c r="Y21" i="4"/>
  <c r="N21" i="4" s="1"/>
  <c r="N28" i="16" s="1"/>
  <c r="Y22" i="4"/>
  <c r="N22" i="4" s="1"/>
  <c r="N29" i="16" s="1"/>
  <c r="Y23" i="4"/>
  <c r="N23" i="4" s="1"/>
  <c r="N30" i="16" s="1"/>
  <c r="Y24" i="4"/>
  <c r="Y25" i="4"/>
  <c r="Y26" i="4"/>
  <c r="Y27" i="4"/>
  <c r="Y20" i="4"/>
  <c r="N20" i="4" s="1"/>
  <c r="N27" i="16" s="1"/>
  <c r="J140" i="14"/>
  <c r="M140" i="14" s="1"/>
  <c r="N140" i="14"/>
  <c r="H139" i="14"/>
  <c r="N139" i="14"/>
  <c r="J136" i="14"/>
  <c r="M136" i="14" s="1"/>
  <c r="H136" i="14"/>
  <c r="N136" i="14"/>
  <c r="J135" i="14"/>
  <c r="H135" i="14"/>
  <c r="N135" i="14"/>
  <c r="J138" i="14"/>
  <c r="M138" i="14" s="1"/>
  <c r="N138" i="14"/>
  <c r="H137" i="14"/>
  <c r="N137" i="14"/>
  <c r="J134" i="14"/>
  <c r="M134" i="14" s="1"/>
  <c r="H134" i="14"/>
  <c r="I134" i="14" s="1"/>
  <c r="R134" i="14" s="1"/>
  <c r="N134" i="14"/>
  <c r="J133" i="14"/>
  <c r="M133" i="14" s="1"/>
  <c r="H133" i="14"/>
  <c r="N133" i="14"/>
  <c r="J152" i="14"/>
  <c r="J151" i="14"/>
  <c r="M151" i="14" s="1"/>
  <c r="J150" i="14"/>
  <c r="H150" i="14"/>
  <c r="J149" i="14"/>
  <c r="M149" i="14" s="1"/>
  <c r="J148" i="14"/>
  <c r="M148" i="14" s="1"/>
  <c r="J147" i="14"/>
  <c r="M147" i="14" s="1"/>
  <c r="J146" i="14"/>
  <c r="M146" i="14" s="1"/>
  <c r="H146" i="14"/>
  <c r="J145" i="14"/>
  <c r="M145" i="14" s="1"/>
  <c r="J144" i="14"/>
  <c r="M144" i="14" s="1"/>
  <c r="J143" i="14"/>
  <c r="I143" i="14" s="1"/>
  <c r="J142" i="14"/>
  <c r="M142" i="14" s="1"/>
  <c r="H142" i="14"/>
  <c r="J141" i="14"/>
  <c r="M141" i="14" s="1"/>
  <c r="N152" i="14"/>
  <c r="N151" i="14"/>
  <c r="N150" i="14"/>
  <c r="N149" i="14"/>
  <c r="N148" i="14"/>
  <c r="N147" i="14"/>
  <c r="N146" i="14"/>
  <c r="N145" i="14"/>
  <c r="N144" i="14"/>
  <c r="N143" i="14"/>
  <c r="N142" i="14"/>
  <c r="N141" i="14"/>
  <c r="G21" i="16"/>
  <c r="G23" i="16"/>
  <c r="H23" i="16"/>
  <c r="I23" i="16"/>
  <c r="J23" i="16"/>
  <c r="K23" i="16"/>
  <c r="G27" i="16"/>
  <c r="H27" i="16"/>
  <c r="I27" i="16"/>
  <c r="J27" i="16"/>
  <c r="G28" i="16"/>
  <c r="H28" i="16"/>
  <c r="I28" i="16"/>
  <c r="J28" i="16"/>
  <c r="G29" i="16"/>
  <c r="G30" i="16"/>
  <c r="H30" i="16"/>
  <c r="I30" i="16"/>
  <c r="J30" i="16"/>
  <c r="G31" i="16"/>
  <c r="H31" i="16"/>
  <c r="I31" i="16"/>
  <c r="J31" i="16"/>
  <c r="G32" i="16"/>
  <c r="H32" i="16"/>
  <c r="I32" i="16"/>
  <c r="G33" i="16"/>
  <c r="H33" i="16"/>
  <c r="I33" i="16"/>
  <c r="J33" i="16"/>
  <c r="G34" i="16"/>
  <c r="H34" i="16"/>
  <c r="I34" i="16"/>
  <c r="G38" i="16"/>
  <c r="H38" i="16"/>
  <c r="I38" i="16"/>
  <c r="J38" i="16"/>
  <c r="G39" i="16"/>
  <c r="H39" i="16"/>
  <c r="I39" i="16"/>
  <c r="J39" i="16"/>
  <c r="G40" i="16"/>
  <c r="H40" i="16"/>
  <c r="I40" i="16"/>
  <c r="J40" i="16"/>
  <c r="G41" i="16"/>
  <c r="H41" i="16"/>
  <c r="I41" i="16"/>
  <c r="G42" i="16"/>
  <c r="H42" i="16"/>
  <c r="I42" i="16"/>
  <c r="G43" i="16"/>
  <c r="H43" i="16"/>
  <c r="I43" i="16"/>
  <c r="J43" i="16"/>
  <c r="G44" i="16"/>
  <c r="H44" i="16"/>
  <c r="I44" i="16"/>
  <c r="J44" i="16"/>
  <c r="G45" i="16"/>
  <c r="H45" i="16"/>
  <c r="I45" i="16"/>
  <c r="J45" i="16"/>
  <c r="G46" i="16"/>
  <c r="H46" i="16"/>
  <c r="I46" i="16"/>
  <c r="J46" i="16"/>
  <c r="G50" i="16"/>
  <c r="H50" i="16"/>
  <c r="I50" i="16"/>
  <c r="J50" i="16"/>
  <c r="G51" i="16"/>
  <c r="H51" i="16"/>
  <c r="I51" i="16"/>
  <c r="J51" i="16"/>
  <c r="G52" i="16"/>
  <c r="H52" i="16"/>
  <c r="I52" i="16"/>
  <c r="J52" i="16"/>
  <c r="G53" i="16"/>
  <c r="H53" i="16"/>
  <c r="I53" i="16"/>
  <c r="J53" i="16"/>
  <c r="G54" i="16"/>
  <c r="H54" i="16"/>
  <c r="I54" i="16"/>
  <c r="J54" i="16"/>
  <c r="G55" i="16"/>
  <c r="H55" i="16"/>
  <c r="I55" i="16"/>
  <c r="J55" i="16"/>
  <c r="G56" i="16"/>
  <c r="H56" i="16"/>
  <c r="I56" i="16"/>
  <c r="J56" i="16"/>
  <c r="G57" i="16"/>
  <c r="H57" i="16"/>
  <c r="I57" i="16"/>
  <c r="G58" i="16"/>
  <c r="H58" i="16"/>
  <c r="I58" i="16"/>
  <c r="J58" i="16"/>
  <c r="G59" i="16"/>
  <c r="H59" i="16"/>
  <c r="I59" i="16"/>
  <c r="J59" i="16"/>
  <c r="G60" i="16"/>
  <c r="H60" i="16"/>
  <c r="I60" i="16"/>
  <c r="J60" i="16"/>
  <c r="G64" i="16"/>
  <c r="H64" i="16"/>
  <c r="I64" i="16"/>
  <c r="J64" i="16"/>
  <c r="G65" i="16"/>
  <c r="H65" i="16"/>
  <c r="I65" i="16"/>
  <c r="J65" i="16"/>
  <c r="G66" i="16"/>
  <c r="G67" i="16"/>
  <c r="H67" i="16"/>
  <c r="I67" i="16"/>
  <c r="J67" i="16"/>
  <c r="G68" i="16"/>
  <c r="H68" i="16"/>
  <c r="K68" i="16" s="1"/>
  <c r="I68" i="16"/>
  <c r="J68" i="16"/>
  <c r="G72" i="16"/>
  <c r="K72" i="16"/>
  <c r="K73" i="16" s="1"/>
  <c r="I73" i="16"/>
  <c r="G74" i="16"/>
  <c r="H74" i="16"/>
  <c r="I74" i="16"/>
  <c r="J74" i="16"/>
  <c r="G76" i="16"/>
  <c r="I44" i="4"/>
  <c r="J44" i="4"/>
  <c r="I45" i="4"/>
  <c r="J45" i="4"/>
  <c r="I46" i="4"/>
  <c r="J46" i="4"/>
  <c r="I47" i="4"/>
  <c r="J47" i="4"/>
  <c r="I48" i="4"/>
  <c r="J48" i="4"/>
  <c r="I49" i="4"/>
  <c r="J49" i="4"/>
  <c r="I50" i="4"/>
  <c r="J50" i="4"/>
  <c r="I51" i="4"/>
  <c r="J51" i="4"/>
  <c r="I52" i="4"/>
  <c r="J52" i="4"/>
  <c r="I53" i="4"/>
  <c r="J53" i="4"/>
  <c r="I43" i="4"/>
  <c r="J43" i="4"/>
  <c r="H57" i="4"/>
  <c r="I57" i="4"/>
  <c r="J57" i="4"/>
  <c r="H58" i="4"/>
  <c r="I58" i="4"/>
  <c r="J58" i="4"/>
  <c r="H59" i="4"/>
  <c r="I59" i="4"/>
  <c r="J59" i="4"/>
  <c r="H60" i="4"/>
  <c r="I60" i="4"/>
  <c r="J60" i="4"/>
  <c r="H61" i="4"/>
  <c r="K61" i="4" s="1"/>
  <c r="I61" i="4"/>
  <c r="J61" i="4"/>
  <c r="G14" i="4"/>
  <c r="K14" i="4" s="1"/>
  <c r="G16" i="4"/>
  <c r="K16" i="4" s="1"/>
  <c r="H20" i="4"/>
  <c r="I20" i="4"/>
  <c r="J20" i="4"/>
  <c r="H21" i="4"/>
  <c r="I21" i="4"/>
  <c r="J21" i="4"/>
  <c r="H22" i="4"/>
  <c r="I22" i="4"/>
  <c r="J22" i="4"/>
  <c r="H23" i="4"/>
  <c r="I23" i="4"/>
  <c r="J23" i="4"/>
  <c r="H24" i="4"/>
  <c r="I24" i="4"/>
  <c r="J24" i="4"/>
  <c r="H25" i="4"/>
  <c r="I25" i="4"/>
  <c r="J25" i="4"/>
  <c r="H26" i="4"/>
  <c r="I26" i="4"/>
  <c r="J26" i="4"/>
  <c r="H27" i="4"/>
  <c r="I27" i="4"/>
  <c r="J27" i="4"/>
  <c r="H31" i="4"/>
  <c r="K31" i="4" s="1"/>
  <c r="I31" i="4"/>
  <c r="J31" i="4"/>
  <c r="H32" i="4"/>
  <c r="I32" i="4"/>
  <c r="J32" i="4"/>
  <c r="H33" i="4"/>
  <c r="I33" i="4"/>
  <c r="J33" i="4"/>
  <c r="H34" i="4"/>
  <c r="I34" i="4"/>
  <c r="J34" i="4"/>
  <c r="H35" i="4"/>
  <c r="I35" i="4"/>
  <c r="J35" i="4"/>
  <c r="H36" i="4"/>
  <c r="I36" i="4"/>
  <c r="J36" i="4"/>
  <c r="H37" i="4"/>
  <c r="I37" i="4"/>
  <c r="J37" i="4"/>
  <c r="H38" i="4"/>
  <c r="I38" i="4"/>
  <c r="J38" i="4"/>
  <c r="H39" i="4"/>
  <c r="I39" i="4"/>
  <c r="J39" i="4"/>
  <c r="H43" i="4"/>
  <c r="H44" i="4"/>
  <c r="H45" i="4"/>
  <c r="K45" i="4" s="1"/>
  <c r="H46" i="4"/>
  <c r="H47" i="4"/>
  <c r="H48" i="4"/>
  <c r="K48" i="4" s="1"/>
  <c r="H49" i="4"/>
  <c r="H50" i="4"/>
  <c r="H51" i="4"/>
  <c r="H52" i="4"/>
  <c r="K52" i="4" s="1"/>
  <c r="H53" i="4"/>
  <c r="J14" i="4"/>
  <c r="H14" i="4"/>
  <c r="H16" i="4"/>
  <c r="I14" i="4"/>
  <c r="G20" i="4"/>
  <c r="G21" i="4"/>
  <c r="G22" i="4"/>
  <c r="G23" i="4"/>
  <c r="G24" i="4"/>
  <c r="G25" i="4"/>
  <c r="G26" i="4"/>
  <c r="G27" i="4"/>
  <c r="H76" i="4"/>
  <c r="I76" i="4"/>
  <c r="J76" i="4"/>
  <c r="G76" i="4"/>
  <c r="G78" i="4"/>
  <c r="G61" i="4"/>
  <c r="G60" i="4"/>
  <c r="G59" i="4"/>
  <c r="G58" i="4"/>
  <c r="G57" i="4"/>
  <c r="G39" i="4"/>
  <c r="G38" i="4"/>
  <c r="G37" i="4"/>
  <c r="G36" i="4"/>
  <c r="G35" i="4"/>
  <c r="G34" i="4"/>
  <c r="G33" i="4"/>
  <c r="G32" i="4"/>
  <c r="G31" i="4"/>
  <c r="G53" i="4"/>
  <c r="G49" i="4"/>
  <c r="G52" i="4"/>
  <c r="G51" i="4"/>
  <c r="G50" i="4"/>
  <c r="G48" i="4"/>
  <c r="G47" i="4"/>
  <c r="G46" i="4"/>
  <c r="G45" i="4"/>
  <c r="G44" i="4"/>
  <c r="G43" i="4"/>
  <c r="P141" i="14"/>
  <c r="Q141" i="14" s="1"/>
  <c r="S141" i="14" s="1"/>
  <c r="O141" i="14"/>
  <c r="P143" i="14"/>
  <c r="P145" i="14"/>
  <c r="O145" i="14"/>
  <c r="P147" i="14"/>
  <c r="P151" i="14"/>
  <c r="Q151" i="14" s="1"/>
  <c r="O151" i="14"/>
  <c r="H141" i="14"/>
  <c r="H143" i="14"/>
  <c r="P144" i="14"/>
  <c r="H145" i="14"/>
  <c r="I145" i="14" s="1"/>
  <c r="R145" i="14" s="1"/>
  <c r="P146" i="14"/>
  <c r="O146" i="14"/>
  <c r="H147" i="14"/>
  <c r="P148" i="14"/>
  <c r="Q148" i="14" s="1"/>
  <c r="S148" i="14" s="1"/>
  <c r="O148" i="14"/>
  <c r="H149" i="14"/>
  <c r="O150" i="14"/>
  <c r="H151" i="14"/>
  <c r="P133" i="14"/>
  <c r="Q133" i="14" s="1"/>
  <c r="S133" i="14" s="1"/>
  <c r="O133" i="14"/>
  <c r="P134" i="14"/>
  <c r="Q134" i="14" s="1"/>
  <c r="S134" i="14" s="1"/>
  <c r="P138" i="14"/>
  <c r="Q138" i="14" s="1"/>
  <c r="S138" i="14" s="1"/>
  <c r="O138" i="14"/>
  <c r="P135" i="14"/>
  <c r="P136" i="14"/>
  <c r="Q136" i="14" s="1"/>
  <c r="S136" i="14" s="1"/>
  <c r="H140" i="14"/>
  <c r="K50" i="4"/>
  <c r="K74" i="16"/>
  <c r="N14" i="108"/>
  <c r="N60" i="108"/>
  <c r="R143" i="14" l="1"/>
  <c r="I149" i="14"/>
  <c r="R149" i="14" s="1"/>
  <c r="I133" i="14"/>
  <c r="R133" i="14" s="1"/>
  <c r="I140" i="14"/>
  <c r="R140" i="14" s="1"/>
  <c r="O143" i="14"/>
  <c r="M143" i="14"/>
  <c r="O135" i="14"/>
  <c r="M135" i="14"/>
  <c r="N31" i="16"/>
  <c r="N24" i="4"/>
  <c r="I136" i="14"/>
  <c r="R136" i="14" s="1"/>
  <c r="P150" i="14"/>
  <c r="Q150" i="14" s="1"/>
  <c r="S150" i="14" s="1"/>
  <c r="M150" i="14"/>
  <c r="N92" i="136"/>
  <c r="N108" i="136" s="1"/>
  <c r="I141" i="14"/>
  <c r="R141" i="14" s="1"/>
  <c r="I150" i="14"/>
  <c r="R150" i="14" s="1"/>
  <c r="U150" i="14" s="1"/>
  <c r="I151" i="14"/>
  <c r="R151" i="14" s="1"/>
  <c r="I135" i="14"/>
  <c r="U136" i="14"/>
  <c r="H117" i="14" s="1"/>
  <c r="H119" i="14" s="1"/>
  <c r="O152" i="14"/>
  <c r="M152" i="14"/>
  <c r="N25" i="4"/>
  <c r="N32" i="16" s="1"/>
  <c r="J32" i="16" s="1"/>
  <c r="K32" i="16" s="1"/>
  <c r="O140" i="14"/>
  <c r="O149" i="14"/>
  <c r="K51" i="4"/>
  <c r="K47" i="4"/>
  <c r="K32" i="4"/>
  <c r="P140" i="14"/>
  <c r="Q140" i="14" s="1"/>
  <c r="P149" i="14"/>
  <c r="Q149" i="14" s="1"/>
  <c r="K76" i="4"/>
  <c r="K59" i="4"/>
  <c r="O136" i="14"/>
  <c r="P152" i="14"/>
  <c r="O142" i="14"/>
  <c r="Q147" i="14"/>
  <c r="S147" i="14" s="1"/>
  <c r="K53" i="4"/>
  <c r="K37" i="4"/>
  <c r="K33" i="4"/>
  <c r="N33" i="16"/>
  <c r="N26" i="4"/>
  <c r="I146" i="14"/>
  <c r="R146" i="14" s="1"/>
  <c r="I147" i="14"/>
  <c r="R147" i="14" s="1"/>
  <c r="U147" i="14" s="1"/>
  <c r="I142" i="14"/>
  <c r="R142" i="14" s="1"/>
  <c r="K78" i="4"/>
  <c r="K79" i="4" s="1"/>
  <c r="N27" i="4"/>
  <c r="N34" i="16" s="1"/>
  <c r="J34" i="16" s="1"/>
  <c r="K34" i="16" s="1"/>
  <c r="K24" i="4"/>
  <c r="J17" i="4"/>
  <c r="K20" i="4"/>
  <c r="I17" i="4"/>
  <c r="K40" i="16"/>
  <c r="K38" i="16"/>
  <c r="N28" i="108"/>
  <c r="N33" i="108" s="1"/>
  <c r="N92" i="129"/>
  <c r="N108" i="129" s="1"/>
  <c r="N125" i="129"/>
  <c r="N132" i="129" s="1"/>
  <c r="N135" i="129"/>
  <c r="N125" i="137"/>
  <c r="N132" i="137" s="1"/>
  <c r="N135" i="137"/>
  <c r="N140" i="137"/>
  <c r="N125" i="136"/>
  <c r="N132" i="136" s="1"/>
  <c r="N135" i="136"/>
  <c r="N140" i="136" s="1"/>
  <c r="I71" i="4" s="1"/>
  <c r="N140" i="130"/>
  <c r="I67" i="4" s="1"/>
  <c r="N37" i="132"/>
  <c r="N118" i="134"/>
  <c r="N122" i="134" s="1"/>
  <c r="N82" i="134"/>
  <c r="N37" i="134"/>
  <c r="N118" i="132"/>
  <c r="N122" i="132" s="1"/>
  <c r="N82" i="132"/>
  <c r="N118" i="131"/>
  <c r="N122" i="131" s="1"/>
  <c r="N82" i="131"/>
  <c r="N37" i="131"/>
  <c r="N125" i="128"/>
  <c r="N132" i="128" s="1"/>
  <c r="N135" i="128" s="1"/>
  <c r="N140" i="128" s="1"/>
  <c r="U134" i="14"/>
  <c r="E117" i="14" s="1"/>
  <c r="E123" i="14" s="1"/>
  <c r="Q135" i="14"/>
  <c r="S135" i="14" s="1"/>
  <c r="O134" i="14"/>
  <c r="O144" i="14"/>
  <c r="P142" i="14"/>
  <c r="Q142" i="14" s="1"/>
  <c r="O147" i="14"/>
  <c r="U133" i="14"/>
  <c r="E116" i="14" s="1"/>
  <c r="E122" i="14" s="1"/>
  <c r="U141" i="14"/>
  <c r="P116" i="14" s="1"/>
  <c r="P122" i="14" s="1"/>
  <c r="S151" i="14"/>
  <c r="U151" i="14" s="1"/>
  <c r="S140" i="14"/>
  <c r="K76" i="16"/>
  <c r="K77" i="16" s="1"/>
  <c r="J77" i="16"/>
  <c r="Q144" i="14"/>
  <c r="S144" i="14" s="1"/>
  <c r="Q152" i="14"/>
  <c r="S152" i="14" s="1"/>
  <c r="Q146" i="14"/>
  <c r="S146" i="14" s="1"/>
  <c r="U146" i="14" s="1"/>
  <c r="Q143" i="14"/>
  <c r="S143" i="14" s="1"/>
  <c r="S149" i="14"/>
  <c r="Q145" i="14"/>
  <c r="S145" i="14" s="1"/>
  <c r="K43" i="4"/>
  <c r="K38" i="4"/>
  <c r="K21" i="4"/>
  <c r="H144" i="14"/>
  <c r="I144" i="14" s="1"/>
  <c r="R144" i="14" s="1"/>
  <c r="H148" i="14"/>
  <c r="I148" i="14" s="1"/>
  <c r="R148" i="14" s="1"/>
  <c r="H152" i="14"/>
  <c r="I152" i="14" s="1"/>
  <c r="R152" i="14" s="1"/>
  <c r="J137" i="14"/>
  <c r="H138" i="14"/>
  <c r="I138" i="14" s="1"/>
  <c r="R138" i="14" s="1"/>
  <c r="J139" i="14"/>
  <c r="H17" i="4"/>
  <c r="K27" i="4"/>
  <c r="K26" i="4"/>
  <c r="K22" i="4"/>
  <c r="K60" i="4"/>
  <c r="K57" i="4"/>
  <c r="K52" i="16"/>
  <c r="K39" i="4"/>
  <c r="K35" i="4"/>
  <c r="K17" i="4"/>
  <c r="K64" i="16"/>
  <c r="K33" i="16"/>
  <c r="K25" i="4"/>
  <c r="J28" i="4"/>
  <c r="K31" i="16"/>
  <c r="K23" i="4"/>
  <c r="K30" i="16"/>
  <c r="H29" i="16"/>
  <c r="I29" i="16"/>
  <c r="I35" i="16" s="1"/>
  <c r="J29" i="16"/>
  <c r="H28" i="4"/>
  <c r="K28" i="16"/>
  <c r="I28" i="4"/>
  <c r="K27" i="16"/>
  <c r="K46" i="16"/>
  <c r="K45" i="16"/>
  <c r="K44" i="16"/>
  <c r="K43" i="16"/>
  <c r="K36" i="4"/>
  <c r="I40" i="4"/>
  <c r="K42" i="16"/>
  <c r="K34" i="4"/>
  <c r="K41" i="16"/>
  <c r="H40" i="4"/>
  <c r="H47" i="16"/>
  <c r="I47" i="16"/>
  <c r="J40" i="4"/>
  <c r="J47" i="16"/>
  <c r="I62" i="4"/>
  <c r="K67" i="16"/>
  <c r="J66" i="16"/>
  <c r="H66" i="16"/>
  <c r="I66" i="16"/>
  <c r="I69" i="16" s="1"/>
  <c r="J62" i="4"/>
  <c r="H62" i="4"/>
  <c r="J69" i="16"/>
  <c r="K58" i="4"/>
  <c r="K62" i="4" s="1"/>
  <c r="K60" i="16"/>
  <c r="K59" i="16"/>
  <c r="K58" i="16"/>
  <c r="K57" i="16"/>
  <c r="K49" i="4"/>
  <c r="K56" i="16"/>
  <c r="K55" i="16"/>
  <c r="I61" i="16"/>
  <c r="K54" i="16"/>
  <c r="I54" i="4"/>
  <c r="K46" i="4"/>
  <c r="J54" i="4"/>
  <c r="H54" i="4"/>
  <c r="J61" i="16"/>
  <c r="K51" i="16"/>
  <c r="K44" i="4"/>
  <c r="H61" i="16"/>
  <c r="K50" i="16"/>
  <c r="K53" i="16"/>
  <c r="K65" i="16"/>
  <c r="K39" i="16"/>
  <c r="U143" i="14" l="1"/>
  <c r="R116" i="14" s="1"/>
  <c r="E118" i="14"/>
  <c r="U135" i="14"/>
  <c r="N92" i="132"/>
  <c r="N108" i="132" s="1"/>
  <c r="M139" i="14"/>
  <c r="I139" i="14"/>
  <c r="R139" i="14" s="1"/>
  <c r="M137" i="14"/>
  <c r="I137" i="14"/>
  <c r="R137" i="14" s="1"/>
  <c r="S142" i="14"/>
  <c r="U142" i="14" s="1"/>
  <c r="P117" i="14" s="1"/>
  <c r="R135" i="14"/>
  <c r="J35" i="16"/>
  <c r="N62" i="108"/>
  <c r="N82" i="108" s="1"/>
  <c r="N140" i="129"/>
  <c r="I74" i="4" s="1"/>
  <c r="K74" i="4" s="1"/>
  <c r="I72" i="4"/>
  <c r="N125" i="131"/>
  <c r="N132" i="131" s="1"/>
  <c r="N135" i="131"/>
  <c r="N125" i="132"/>
  <c r="N132" i="132" s="1"/>
  <c r="N135" i="132"/>
  <c r="N140" i="132" s="1"/>
  <c r="I66" i="4" s="1"/>
  <c r="K66" i="4" s="1"/>
  <c r="N125" i="134"/>
  <c r="N132" i="134" s="1"/>
  <c r="N135" i="134"/>
  <c r="N92" i="134"/>
  <c r="N108" i="134" s="1"/>
  <c r="N140" i="134" s="1"/>
  <c r="I70" i="4" s="1"/>
  <c r="N92" i="131"/>
  <c r="N108" i="131" s="1"/>
  <c r="E119" i="14"/>
  <c r="E125" i="14" s="1"/>
  <c r="U145" i="14"/>
  <c r="U149" i="14"/>
  <c r="U138" i="14"/>
  <c r="U140" i="14"/>
  <c r="R123" i="14" s="1"/>
  <c r="U148" i="14"/>
  <c r="U152" i="14"/>
  <c r="U144" i="14"/>
  <c r="R117" i="14" s="1"/>
  <c r="K67" i="4"/>
  <c r="P139" i="14"/>
  <c r="O139" i="14"/>
  <c r="K28" i="4"/>
  <c r="P137" i="14"/>
  <c r="O137" i="14"/>
  <c r="K71" i="4"/>
  <c r="K69" i="4"/>
  <c r="K29" i="16"/>
  <c r="K35" i="16" s="1"/>
  <c r="H35" i="16"/>
  <c r="K40" i="4"/>
  <c r="H82" i="4"/>
  <c r="K47" i="16"/>
  <c r="J82" i="4"/>
  <c r="K66" i="16"/>
  <c r="K69" i="16" s="1"/>
  <c r="H69" i="16"/>
  <c r="K54" i="4"/>
  <c r="K61" i="16"/>
  <c r="H116" i="14" l="1"/>
  <c r="H118" i="14"/>
  <c r="K117" i="14"/>
  <c r="N118" i="108"/>
  <c r="N122" i="108" s="1"/>
  <c r="N125" i="108" s="1"/>
  <c r="N132" i="108" s="1"/>
  <c r="E124" i="14"/>
  <c r="E120" i="14"/>
  <c r="E126" i="14" s="1"/>
  <c r="N37" i="108"/>
  <c r="N92" i="108" s="1"/>
  <c r="N108" i="108" s="1"/>
  <c r="P119" i="14"/>
  <c r="P125" i="14" s="1"/>
  <c r="P118" i="14"/>
  <c r="P123" i="14"/>
  <c r="N135" i="108"/>
  <c r="N140" i="131"/>
  <c r="I68" i="4" s="1"/>
  <c r="K68" i="4" s="1"/>
  <c r="H123" i="14"/>
  <c r="N117" i="14"/>
  <c r="H125" i="14"/>
  <c r="R119" i="14"/>
  <c r="R125" i="14" s="1"/>
  <c r="R118" i="14"/>
  <c r="N140" i="108"/>
  <c r="I65" i="4" s="1"/>
  <c r="K65" i="4" s="1"/>
  <c r="K73" i="4"/>
  <c r="K72" i="4"/>
  <c r="Q137" i="14"/>
  <c r="S137" i="14" s="1"/>
  <c r="U137" i="14" s="1"/>
  <c r="Q139" i="14"/>
  <c r="S139" i="14" s="1"/>
  <c r="U139" i="14" s="1"/>
  <c r="K70" i="4"/>
  <c r="H122" i="14" l="1"/>
  <c r="K116" i="14"/>
  <c r="K122" i="14" s="1"/>
  <c r="P120" i="14"/>
  <c r="P126" i="14" s="1"/>
  <c r="P124" i="14"/>
  <c r="K118" i="14"/>
  <c r="K123" i="14"/>
  <c r="K119" i="14"/>
  <c r="K125" i="14" s="1"/>
  <c r="H124" i="14"/>
  <c r="H120" i="14"/>
  <c r="H126" i="14" s="1"/>
  <c r="R124" i="14"/>
  <c r="R120" i="14"/>
  <c r="R126" i="14" s="1"/>
  <c r="N119" i="14"/>
  <c r="N125" i="14" s="1"/>
  <c r="N123" i="14"/>
  <c r="N118" i="14"/>
  <c r="N116" i="14"/>
  <c r="N122" i="14" s="1"/>
  <c r="R122" i="14"/>
  <c r="I75" i="4"/>
  <c r="K75" i="4" s="1"/>
  <c r="K82" i="4" s="1"/>
  <c r="K124" i="14" l="1"/>
  <c r="K120" i="14"/>
  <c r="K126" i="14" s="1"/>
  <c r="N124" i="14"/>
  <c r="N120" i="14"/>
  <c r="N126" i="14" s="1"/>
  <c r="I82" i="4"/>
  <c r="N16" i="4"/>
  <c r="N23" i="16" s="1"/>
  <c r="N15" i="4"/>
  <c r="N22" i="16" s="1"/>
  <c r="N14" i="4"/>
  <c r="N21" i="16" s="1"/>
  <c r="K21" i="16" l="1"/>
  <c r="K24" i="16" s="1"/>
  <c r="K80" i="16" s="1"/>
  <c r="I21" i="16"/>
  <c r="I24" i="16" s="1"/>
  <c r="I80" i="16" s="1"/>
  <c r="H21" i="16"/>
  <c r="H24" i="16" s="1"/>
  <c r="H80" i="16" s="1"/>
  <c r="J21" i="16"/>
  <c r="J24" i="16" s="1"/>
  <c r="J80" i="16" s="1"/>
</calcChain>
</file>

<file path=xl/comments1.xml><?xml version="1.0" encoding="utf-8"?>
<comments xmlns="http://schemas.openxmlformats.org/spreadsheetml/2006/main">
  <authors>
    <author>vaughana</author>
  </authors>
  <commentList>
    <comment ref="I65" authorId="0" shapeId="0">
      <text>
        <r>
          <rPr>
            <b/>
            <sz val="8"/>
            <color indexed="81"/>
            <rFont val="Tahoma"/>
            <family val="2"/>
          </rPr>
          <t>Override emissions using the STW Graphs worksheet if appropriate</t>
        </r>
      </text>
    </comment>
    <comment ref="I66" authorId="0" shapeId="0">
      <text>
        <r>
          <rPr>
            <b/>
            <sz val="8"/>
            <color indexed="81"/>
            <rFont val="Tahoma"/>
            <family val="2"/>
          </rPr>
          <t>Override emissions using the STW Graphs worksheet if appropriate</t>
        </r>
      </text>
    </comment>
    <comment ref="I67" authorId="0" shapeId="0">
      <text>
        <r>
          <rPr>
            <b/>
            <sz val="8"/>
            <color indexed="81"/>
            <rFont val="Tahoma"/>
            <family val="2"/>
          </rPr>
          <t>Override emissions using the STW Graphs worksheet if appropriate</t>
        </r>
      </text>
    </comment>
    <comment ref="I68" authorId="0" shapeId="0">
      <text>
        <r>
          <rPr>
            <b/>
            <sz val="8"/>
            <color indexed="81"/>
            <rFont val="Tahoma"/>
            <family val="2"/>
          </rPr>
          <t>Override emissions using the STW Graphs worksheet if appropriate</t>
        </r>
      </text>
    </comment>
    <comment ref="I69" authorId="0" shapeId="0">
      <text>
        <r>
          <rPr>
            <b/>
            <sz val="8"/>
            <color indexed="81"/>
            <rFont val="Tahoma"/>
            <family val="2"/>
          </rPr>
          <t>Override emissions using the STW Graphs worksheet if appropriate</t>
        </r>
      </text>
    </comment>
    <comment ref="I70" authorId="0" shapeId="0">
      <text>
        <r>
          <rPr>
            <b/>
            <sz val="8"/>
            <color indexed="81"/>
            <rFont val="Tahoma"/>
            <family val="2"/>
          </rPr>
          <t>Override emissions using the STW Graphs worksheet if appropriate</t>
        </r>
      </text>
    </comment>
    <comment ref="I71" authorId="0" shapeId="0">
      <text>
        <r>
          <rPr>
            <b/>
            <sz val="8"/>
            <color indexed="81"/>
            <rFont val="Tahoma"/>
            <family val="2"/>
          </rPr>
          <t>Override emissions using the STW Graphs worksheet if appropriate</t>
        </r>
      </text>
    </comment>
    <comment ref="I72" authorId="0" shapeId="0">
      <text>
        <r>
          <rPr>
            <b/>
            <sz val="8"/>
            <color indexed="81"/>
            <rFont val="Tahoma"/>
            <family val="2"/>
          </rPr>
          <t>Override emissions using the STW Graphs worksheet if appropriate</t>
        </r>
      </text>
    </comment>
    <comment ref="I73" authorId="0" shapeId="0">
      <text>
        <r>
          <rPr>
            <b/>
            <sz val="8"/>
            <color indexed="81"/>
            <rFont val="Tahoma"/>
            <family val="2"/>
          </rPr>
          <t>Override emissions using the STW Graphs worksheet if appropriate</t>
        </r>
      </text>
    </comment>
    <comment ref="I74" authorId="0" shapeId="0">
      <text>
        <r>
          <rPr>
            <b/>
            <sz val="8"/>
            <color indexed="81"/>
            <rFont val="Tahoma"/>
            <family val="2"/>
          </rPr>
          <t>Override emissions using the STW Graphs worksheet if appropriate</t>
        </r>
      </text>
    </comment>
    <comment ref="F78" authorId="0" shapeId="0">
      <text>
        <r>
          <rPr>
            <b/>
            <sz val="8"/>
            <color indexed="81"/>
            <rFont val="Tahoma"/>
            <family val="2"/>
          </rPr>
          <t>Enter Carbon sequestered as a NEGATIVE value.</t>
        </r>
      </text>
    </comment>
  </commentList>
</comments>
</file>

<file path=xl/comments2.xml><?xml version="1.0" encoding="utf-8"?>
<comments xmlns="http://schemas.openxmlformats.org/spreadsheetml/2006/main">
  <authors>
    <author>vaughana</author>
  </authors>
  <commentList>
    <comment ref="I72" authorId="0" shapeId="0">
      <text>
        <r>
          <rPr>
            <b/>
            <sz val="8"/>
            <color indexed="81"/>
            <rFont val="Tahoma"/>
            <family val="2"/>
          </rPr>
          <t>Emissions linked to the STW Example worksheet.
Override if using the STW Graphs worksheet to estimate emissions</t>
        </r>
      </text>
    </comment>
    <comment ref="F76" authorId="0" shapeId="0">
      <text>
        <r>
          <rPr>
            <b/>
            <sz val="8"/>
            <color indexed="81"/>
            <rFont val="Tahoma"/>
            <family val="2"/>
          </rPr>
          <t>Enter Carbon sequestered as a negative value.</t>
        </r>
      </text>
    </comment>
  </commentList>
</comments>
</file>

<file path=xl/sharedStrings.xml><?xml version="1.0" encoding="utf-8"?>
<sst xmlns="http://schemas.openxmlformats.org/spreadsheetml/2006/main" count="3201" uniqueCount="568">
  <si>
    <t>where EFsecij is the emission factor for wastewater treatment  with default value of  4.9 tonnes N2O measured in CO2-e per tonne nitrogen</t>
  </si>
  <si>
    <r>
      <t xml:space="preserve">Total Methane Emissions = CH4genww + CH4gensl - methane captured   </t>
    </r>
    <r>
      <rPr>
        <sz val="10"/>
        <rFont val="Arial Narrow"/>
        <family val="2"/>
      </rPr>
      <t xml:space="preserve"> in tonnes CO2-e</t>
    </r>
  </si>
  <si>
    <t>Greenhouse gas emissions for typical types of treatment are graphed below against population and inflow.</t>
  </si>
  <si>
    <t>Electricity purchased from NSW or ACT Grid</t>
  </si>
  <si>
    <t>Electricity purchased from QLD Grid</t>
  </si>
  <si>
    <t>The council also has an anaerobic lagoon &lt;2m deep.</t>
  </si>
  <si>
    <t>Covered anaerobic lagoons</t>
  </si>
  <si>
    <t>No.</t>
  </si>
  <si>
    <t>0.05*Mtrl</t>
  </si>
  <si>
    <t>Anaerobic (digester)</t>
  </si>
  <si>
    <t>Insert the quantities of each fuel in the appropriate blue shaded cells.</t>
  </si>
  <si>
    <t>Collect the relevant data (quantities of each fuel combusted including electricity) for your water, sewerage and other operations.</t>
  </si>
  <si>
    <r>
      <t xml:space="preserve">Graphs have also been prepared based on typical STW operations for different inflows and populations.  These are shown at orange tab </t>
    </r>
    <r>
      <rPr>
        <b/>
        <sz val="10"/>
        <rFont val="Arial Narrow"/>
        <family val="2"/>
      </rPr>
      <t>STW Graphs</t>
    </r>
    <r>
      <rPr>
        <sz val="10"/>
        <rFont val="Arial Narrow"/>
        <family val="2"/>
      </rPr>
      <t>.</t>
    </r>
  </si>
  <si>
    <r>
      <t xml:space="preserve">These graphs are shown at the orange tab </t>
    </r>
    <r>
      <rPr>
        <b/>
        <sz val="10"/>
        <rFont val="Arial Narrow"/>
        <family val="2"/>
      </rPr>
      <t>STW Graphs.</t>
    </r>
    <r>
      <rPr>
        <sz val="10"/>
        <rFont val="Arial Narrow"/>
        <family val="2"/>
      </rPr>
      <t xml:space="preserve"> </t>
    </r>
  </si>
  <si>
    <t>Examples of Common Emission Sources in Water Supply and Sewerage</t>
  </si>
  <si>
    <r>
      <t>m</t>
    </r>
    <r>
      <rPr>
        <vertAlign val="superscript"/>
        <sz val="12"/>
        <rFont val="Arial Narrow"/>
        <family val="2"/>
      </rPr>
      <t>3</t>
    </r>
  </si>
  <si>
    <r>
      <t xml:space="preserve">*  </t>
    </r>
    <r>
      <rPr>
        <b/>
        <sz val="12"/>
        <rFont val="Arial Narrow"/>
        <family val="2"/>
      </rPr>
      <t>OTHER</t>
    </r>
    <r>
      <rPr>
        <sz val="12"/>
        <rFont val="Arial Narrow"/>
        <family val="2"/>
      </rPr>
      <t xml:space="preserve"> is the estimated water and sewerage component of the fuel used in Councils' office buildings and vehicles and can also include sequestration as an offset (ie. a negative value).</t>
    </r>
  </si>
  <si>
    <t xml:space="preserve">     CODeff = 0.08 x CODw</t>
  </si>
  <si>
    <t>0.08 x CODw</t>
  </si>
  <si>
    <t>Utilities should review whether these assumptions are appropriate for their situation.</t>
  </si>
  <si>
    <t>B</t>
  </si>
  <si>
    <t>D</t>
  </si>
  <si>
    <t>Carbon Offsets</t>
  </si>
  <si>
    <t>Total Emissions</t>
  </si>
  <si>
    <t>Emissions from water and sewerage operations - excluding STWs</t>
  </si>
  <si>
    <t>However, the calculation of emissions is relatively complicated and, for sewage treatment works, requires the measurement or estimation of a number of factors. It requires the utility to assess the relevance and suitability of the appropriate factors and to apply these factors to its situation.</t>
  </si>
  <si>
    <t>Greenhouse gases are produced from the use of fossil fuel in a water utility's operations, including transport and office accommodation, and are also produced from the chemical reactions resulting from the processing of sewage in a sewage treatment works.</t>
  </si>
  <si>
    <t>A. Emissions from Water and Sewerage Operations - excluding Sewage Treatment Works (STWs)</t>
  </si>
  <si>
    <t>B.  Emissions from Sewage Treatment Works (STWs)</t>
  </si>
  <si>
    <t>The following assumptions have been provided to assist in the calculation of emissions from STWs.</t>
  </si>
  <si>
    <t>STW 1</t>
  </si>
  <si>
    <t>NOTES:</t>
  </si>
  <si>
    <t xml:space="preserve">CODeff = 0.08 x CODw </t>
  </si>
  <si>
    <t>STW 2</t>
  </si>
  <si>
    <t xml:space="preserve">The total greenhouse gas generated from this STW </t>
  </si>
  <si>
    <t>and are shown in the table at right.</t>
  </si>
  <si>
    <t>in the emissions table below.</t>
  </si>
  <si>
    <t>Fuel Type</t>
  </si>
  <si>
    <t>Emissions from Sewage Treatment Works (STWs)</t>
  </si>
  <si>
    <t>1.  Enter the annual quantity of fuel used in water, sewerage or other operations in the appropriate blue cells below.</t>
  </si>
  <si>
    <t>Calculation of emissions from STWs requires estimation or measurement of various parameters including BOD or COD for inflow and outflow.</t>
  </si>
  <si>
    <t>(a)</t>
  </si>
  <si>
    <t>(b)</t>
  </si>
  <si>
    <t>(c)</t>
  </si>
  <si>
    <t>(d)</t>
  </si>
  <si>
    <t>(e)</t>
  </si>
  <si>
    <t>(f)</t>
  </si>
  <si>
    <t>(g)</t>
  </si>
  <si>
    <t>(h)</t>
  </si>
  <si>
    <t>(i)</t>
  </si>
  <si>
    <t>Assumed inflow sewage loading
(L/c/d)</t>
  </si>
  <si>
    <t>Default fraction wastewater COD anaerobic (Fwan)</t>
  </si>
  <si>
    <t xml:space="preserve">     COD = 2.6 x 2.25 / 100 = 0.0585 tonnes per capita</t>
  </si>
  <si>
    <t xml:space="preserve">     CODw = 0.0585 x population</t>
  </si>
  <si>
    <t>kL</t>
  </si>
  <si>
    <t>Biodiesel</t>
  </si>
  <si>
    <t>Fuel oil</t>
  </si>
  <si>
    <t>m3</t>
  </si>
  <si>
    <t>Multiplier</t>
  </si>
  <si>
    <t>kWh</t>
  </si>
  <si>
    <t>Brown coal</t>
  </si>
  <si>
    <t>Coking coal</t>
  </si>
  <si>
    <t>Brown coal briquettes</t>
  </si>
  <si>
    <t>Bagasse</t>
  </si>
  <si>
    <t>Charcoal</t>
  </si>
  <si>
    <t>Town gas</t>
  </si>
  <si>
    <t>Liquefied natural gas</t>
  </si>
  <si>
    <t>Heating oil</t>
  </si>
  <si>
    <t>Diesel oil</t>
  </si>
  <si>
    <t>Liquefied petroleum gas</t>
  </si>
  <si>
    <t>t</t>
  </si>
  <si>
    <t>Transport (vehicles), office buildings, sequestration</t>
  </si>
  <si>
    <r>
      <t>m</t>
    </r>
    <r>
      <rPr>
        <vertAlign val="superscript"/>
        <sz val="10"/>
        <rFont val="Arial Narrow"/>
        <family val="2"/>
      </rPr>
      <t>3</t>
    </r>
  </si>
  <si>
    <t>UNITS</t>
  </si>
  <si>
    <t>SUBTOTAL</t>
  </si>
  <si>
    <t>SEQUESTRATION</t>
  </si>
  <si>
    <t>Carbon Offset</t>
  </si>
  <si>
    <t>Black coal</t>
  </si>
  <si>
    <t>Industrial materials (eg. tyres) derived from fossil fuels</t>
  </si>
  <si>
    <t>Municipal materials (non-biomass)</t>
  </si>
  <si>
    <t>Municipal and industrial materials (Biomass)</t>
  </si>
  <si>
    <t>Wood (dry)</t>
  </si>
  <si>
    <t>Wood (Green and air dried)</t>
  </si>
  <si>
    <t>Coal seam methane</t>
  </si>
  <si>
    <t>Coal mine waste gas</t>
  </si>
  <si>
    <t>Landfill or sludge biogas (methane only)</t>
  </si>
  <si>
    <t>Petroleum based oils (other than fuel, eg lubricants)</t>
  </si>
  <si>
    <t>Gasoline (other than for use in an aircraft)</t>
  </si>
  <si>
    <t>Kerosene (other than for use in an aircraft)</t>
  </si>
  <si>
    <t>Gasoline for use in an aircraft (AVGAS)</t>
  </si>
  <si>
    <t>Kerosene for use in an aircraft (AVTUR)</t>
  </si>
  <si>
    <t>SOLID FUELS (Non Transport) (Table 1 of NGA)</t>
  </si>
  <si>
    <t>Sewage collection, storage, treatment and discharge</t>
  </si>
  <si>
    <t>Water source, storage, treatment, transfer and distribution</t>
  </si>
  <si>
    <t>Reference</t>
  </si>
  <si>
    <t xml:space="preserve">Table </t>
  </si>
  <si>
    <t>from NGA</t>
  </si>
  <si>
    <t>Table 1</t>
  </si>
  <si>
    <t>Table 2</t>
  </si>
  <si>
    <t>NATURAL GAS (Non Transport) (Table 2 of NGA)</t>
  </si>
  <si>
    <t>LIQUID FUELS (Non Transport) (Table 3 of NGA)</t>
  </si>
  <si>
    <t>Table 3</t>
  </si>
  <si>
    <t>Ethanol for use in an internal combustion engine</t>
  </si>
  <si>
    <t>Table 4</t>
  </si>
  <si>
    <t>Fuel oil (General transport)</t>
  </si>
  <si>
    <t>Biodiesel (General transport)</t>
  </si>
  <si>
    <t>Gasoline (Vehicles)</t>
  </si>
  <si>
    <t>Diesel oil (Vehicles)</t>
  </si>
  <si>
    <t>Liquefied petroleum gas (Vehicles)</t>
  </si>
  <si>
    <t>Ethanol (Vehicles)</t>
  </si>
  <si>
    <t>LIQUID FUELS (Transport) (Table 4 of NGA)</t>
  </si>
  <si>
    <t>Table 5</t>
  </si>
  <si>
    <t>ELECTRICITY PURCHASED FROM GRID (Table 5 of NGA)</t>
  </si>
  <si>
    <t>WASTEWATER TREATMENT</t>
  </si>
  <si>
    <t>Electricity purchased from Vic Grid</t>
  </si>
  <si>
    <t>ANNUAL QUANTITY USED</t>
  </si>
  <si>
    <t>WATER SUPPLY OPERATIONS</t>
  </si>
  <si>
    <t>SEWERAGE OPERATIONS</t>
  </si>
  <si>
    <t>OTHER*</t>
  </si>
  <si>
    <t>GREENHOUSE GAS EMISSIONS (t CO2-equivalent)</t>
  </si>
  <si>
    <t>TOTAL EMISSIONS</t>
  </si>
  <si>
    <t>TOTAL USED</t>
  </si>
  <si>
    <t xml:space="preserve">   Enter data into the blue cells only</t>
  </si>
  <si>
    <t>N/A</t>
  </si>
  <si>
    <t>SOURCE</t>
  </si>
  <si>
    <t>Electricity used during water sourcing, treatment, distribution and transfer.</t>
  </si>
  <si>
    <t>Electricity used during sewage collection, storage, treatment and discharge.</t>
  </si>
  <si>
    <t>Electricity used in office buildings for both Water and Sewerage Operations.</t>
  </si>
  <si>
    <t>Wood/coals used for heating, etc in office buildings.</t>
  </si>
  <si>
    <t>Natural gas used for heating, hot water, etc in office buildings.</t>
  </si>
  <si>
    <t>EXCLUDED (SCOPE 3)</t>
  </si>
  <si>
    <t>Disposal of waste generated.
Employee business travel.
Employees commuting to/from work.
Out-sourced activities (transport/vehicles not owned by utility).
Transportation of products, materials and waste.</t>
  </si>
  <si>
    <t>Fuels used for heating, hot water, etc in office buildings.
Transport - vehicles owned by utility but NOT registered for road use.</t>
  </si>
  <si>
    <t>Transport - vehicles owned &amp; used by utility AND registered for road use.</t>
  </si>
  <si>
    <t>Population</t>
  </si>
  <si>
    <t>FUEL or PROCESS UTILISED</t>
  </si>
  <si>
    <t>Liquid fuels used for water supply operations other than transport vehicles</t>
  </si>
  <si>
    <t>Liquid fuels used for sewerage operations other than transport vehicles</t>
  </si>
  <si>
    <t>Natural gas used for water supply operations other than in office buildings</t>
  </si>
  <si>
    <t>Natural gas used for sewerage operations other than in office buildings</t>
  </si>
  <si>
    <t>Emissions from wastewater treatment  
(methane and nitrous oxide) 
See instructions sheet</t>
  </si>
  <si>
    <r>
      <t>Accredited</t>
    </r>
    <r>
      <rPr>
        <sz val="10"/>
        <rFont val="Arial"/>
        <family val="2"/>
      </rPr>
      <t xml:space="preserve"> Carbon offsets
e.g. tree plantations</t>
    </r>
  </si>
  <si>
    <t>A</t>
  </si>
  <si>
    <t>C</t>
  </si>
  <si>
    <t>Greenhouse Gas Emissions
(tonne CO2 equivalent)</t>
  </si>
  <si>
    <t>Methane Emissions
(tonne CO2 equivalent)</t>
  </si>
  <si>
    <t>Nitrous Oxide Emissions
(tonne CO2 equivalent)</t>
  </si>
  <si>
    <t>0.0585 x pop</t>
  </si>
  <si>
    <t>Default fraction COD in sludge anaerobic (Fslan)</t>
  </si>
  <si>
    <t>Nin</t>
  </si>
  <si>
    <t>0.036 x 0.16 x P</t>
  </si>
  <si>
    <t>Population Served (P)</t>
  </si>
  <si>
    <t>Ntrl</t>
  </si>
  <si>
    <t>Type of Treatment Works</t>
  </si>
  <si>
    <t>CODw
(tonnes)</t>
  </si>
  <si>
    <t>CODsl
(tonnes)</t>
  </si>
  <si>
    <t>CODeff
(tonnes)</t>
  </si>
  <si>
    <t>CODtrl
(tonnes)</t>
  </si>
  <si>
    <t>Managed aerobic treatment</t>
  </si>
  <si>
    <t>Unmanaged aerobic treatment</t>
  </si>
  <si>
    <t>Deep anaerobic lagoon (&gt;2m)</t>
  </si>
  <si>
    <t>TYPE OF TREATMENT</t>
  </si>
  <si>
    <t>Oxidation Pond</t>
  </si>
  <si>
    <t>Anaerobic digester/reactor</t>
  </si>
  <si>
    <t>Unmanaged aerobic (deep pond)</t>
  </si>
  <si>
    <t>Volume Treated</t>
  </si>
  <si>
    <t>GHG Emissions (tonnes CO2 equiv)</t>
  </si>
  <si>
    <t>SUMMARY OF EMISSIONS CALCULATED FROM TABLE BELOW</t>
  </si>
  <si>
    <t>STW assumed for each type of treatment</t>
  </si>
  <si>
    <t>Working Table of Emissions Calculated Using the NGER Calculator</t>
  </si>
  <si>
    <r>
      <t xml:space="preserve">*  </t>
    </r>
    <r>
      <rPr>
        <b/>
        <sz val="10"/>
        <rFont val="Arial Narrow"/>
        <family val="2"/>
      </rPr>
      <t>OTHER</t>
    </r>
    <r>
      <rPr>
        <sz val="10"/>
        <rFont val="Arial Narrow"/>
        <family val="2"/>
      </rPr>
      <t xml:space="preserve"> is the estimated water and sewerage component of the fuel used in Councils' office buildings and vehicles and can also include sequestration as an offset (ie. a negative value).</t>
    </r>
  </si>
  <si>
    <t>LIQUID FUELS (Transport)  (Adapted from Table 4 of NGA)</t>
  </si>
  <si>
    <t>LIQUID FUELS (Non Transport)  (Adapted from Table 3 of NGA)</t>
  </si>
  <si>
    <t>SOLID FUELS (Non Transport)  (Adapted from Table 1 of NGA)</t>
  </si>
  <si>
    <t>NATURAL GAS (Non Transport)  (Adapted from Table 2 of NGA)</t>
  </si>
  <si>
    <t>SEWAGE TREATMENT  (from STW spreadsheet)</t>
  </si>
  <si>
    <t>Determine your utility's accredited sequestration (usually in the form of tonnes of carbon in tree plantations).</t>
  </si>
  <si>
    <t xml:space="preserve">D.  Total Emissions </t>
  </si>
  <si>
    <t>C.  Carbon Offsets</t>
  </si>
  <si>
    <t xml:space="preserve">For convenience, based on all of the above assumptions, graphs have been prepared for different types of STWs for different inflows or populations. </t>
  </si>
  <si>
    <t>ML</t>
  </si>
  <si>
    <t>tonnes</t>
  </si>
  <si>
    <t>t CO2-e</t>
  </si>
  <si>
    <t>COD is assumed to be 2.6 times BOD</t>
  </si>
  <si>
    <t>BOD from domestic sewage is assumed to be 2.25 tonnes per annum per 100 persons</t>
  </si>
  <si>
    <t>(j)</t>
  </si>
  <si>
    <t>(k)</t>
  </si>
  <si>
    <t>Inflow to STW</t>
  </si>
  <si>
    <t>Input</t>
  </si>
  <si>
    <t>Result</t>
  </si>
  <si>
    <t>Example Calculation of Emissions from Water and Sewerage Operations</t>
  </si>
  <si>
    <t>Electricity</t>
  </si>
  <si>
    <t xml:space="preserve">Water </t>
  </si>
  <si>
    <t>Sewerage</t>
  </si>
  <si>
    <t>kwh</t>
  </si>
  <si>
    <t>Other</t>
  </si>
  <si>
    <t>Ethanol</t>
  </si>
  <si>
    <t>Fuel oil (non transport)</t>
  </si>
  <si>
    <t>Carbon offset</t>
  </si>
  <si>
    <t>Diesel oil (non transport</t>
  </si>
  <si>
    <t>The STW has no biogas captured or flared.</t>
  </si>
  <si>
    <t xml:space="preserve">For an example council, fictitious fuel quantities have been assumed </t>
  </si>
  <si>
    <t>These quantities have been entered into the appropriate blue shaded cells</t>
  </si>
  <si>
    <t>t CO2 -e</t>
  </si>
  <si>
    <t>GREENHOUSE GAS EMISSIONS</t>
  </si>
  <si>
    <t>Using these assumptions will enable a first approximation of greenhouse gas emissions.</t>
  </si>
  <si>
    <t>However, where these assumptions are incorrect, they can be overridden as necessary.</t>
  </si>
  <si>
    <t>OVERVIEW</t>
  </si>
  <si>
    <t>INSTRUCTIONS</t>
  </si>
  <si>
    <t>Insert Council  Name  and Year</t>
  </si>
  <si>
    <r>
      <t xml:space="preserve">The calculations above include a number of simplifying assumptions which have been based on typical STW operations shown at yellow tab </t>
    </r>
    <r>
      <rPr>
        <b/>
        <sz val="10"/>
        <rFont val="Arial Narrow"/>
        <family val="2"/>
      </rPr>
      <t>STW Assumptions</t>
    </r>
    <r>
      <rPr>
        <sz val="10"/>
        <rFont val="Arial Narrow"/>
        <family val="2"/>
      </rPr>
      <t>.</t>
    </r>
  </si>
  <si>
    <r>
      <t xml:space="preserve">Refer also to the other assumptions shown at yellow tab </t>
    </r>
    <r>
      <rPr>
        <b/>
        <sz val="12"/>
        <rFont val="Arial"/>
        <family val="2"/>
      </rPr>
      <t>STW Assumptions.</t>
    </r>
  </si>
  <si>
    <r>
      <t xml:space="preserve">To calculate greenhouse gas emissions, utilities should follow steps A to D in the Instructions worksheet (see pink tab </t>
    </r>
    <r>
      <rPr>
        <b/>
        <sz val="12"/>
        <rFont val="Arial Narrow"/>
        <family val="2"/>
      </rPr>
      <t>Instructions</t>
    </r>
    <r>
      <rPr>
        <sz val="12"/>
        <rFont val="Arial Narrow"/>
        <family val="2"/>
      </rPr>
      <t>). These steps comprise:</t>
    </r>
  </si>
  <si>
    <t>tCO2-e/kWh</t>
  </si>
  <si>
    <t>Population served</t>
  </si>
  <si>
    <t>COD in influent to STW (CODw)</t>
  </si>
  <si>
    <t>MCFww</t>
  </si>
  <si>
    <t>MCFsl</t>
  </si>
  <si>
    <t>CODsl = CODpsl + CODwasl</t>
  </si>
  <si>
    <t>CODpsl = VSpsl x 1.99</t>
  </si>
  <si>
    <t>where VSpsl is the estimated volatile solids in the primary sludge</t>
  </si>
  <si>
    <t>CODwasl = VSwasl x 1.48</t>
  </si>
  <si>
    <t>where VSwasl is the estimated volatile solids in the waste activated sludge</t>
  </si>
  <si>
    <t>The fraction of COD removed as sludge should be readily available from internal records of treatment plants.</t>
  </si>
  <si>
    <t xml:space="preserve">Methane captured for combustion or flaring </t>
  </si>
  <si>
    <t>Methane captured = 0.0142464 x Q</t>
  </si>
  <si>
    <t>in tonnes CO2-e (where Q is the volume in m3 of methane combusted, flared or transferred out)</t>
  </si>
  <si>
    <t>Using default values, this results in:</t>
  </si>
  <si>
    <t>Oxidation ditches and carrousels</t>
  </si>
  <si>
    <t>Mechanically aerated lagoons</t>
  </si>
  <si>
    <t>Trickling filters</t>
  </si>
  <si>
    <t>Dissolved air flotation</t>
  </si>
  <si>
    <t>Aerobic digesters</t>
  </si>
  <si>
    <t>Tertiary filtration</t>
  </si>
  <si>
    <t>Gravity thickeners</t>
  </si>
  <si>
    <t>Imhoff Tanks</t>
  </si>
  <si>
    <t>Anaerobic digester</t>
  </si>
  <si>
    <t>High rate anaerobic reactors</t>
  </si>
  <si>
    <t>Anaerobic shallow lagoon (&lt;2m deep)</t>
  </si>
  <si>
    <t>Facultative lagoons</t>
  </si>
  <si>
    <t>Maturation/polishing lagoons</t>
  </si>
  <si>
    <t>Sludge drying pans</t>
  </si>
  <si>
    <t>Anaerobic deep lagoon (&gt;2m deep)</t>
  </si>
  <si>
    <t>Sludge lagoons</t>
  </si>
  <si>
    <t>Waste activated sludge is from a secondary treatment process in a STW involving aeration and active biological material.</t>
  </si>
  <si>
    <t>Primary sludge is from the first major treatment process in a STW that removes a substantial amount of suspended matter and no colloidal or dissolved matter.</t>
  </si>
  <si>
    <t>t N</t>
  </si>
  <si>
    <t>Nitrogen in sludge</t>
  </si>
  <si>
    <t>(ie. all waters other than estuarine or open coastal waters)</t>
  </si>
  <si>
    <t>CODw =</t>
  </si>
  <si>
    <t xml:space="preserve">CODsl = </t>
  </si>
  <si>
    <t>Ntrl =</t>
  </si>
  <si>
    <t>Ntro =</t>
  </si>
  <si>
    <t xml:space="preserve">and CODwasl is the quantity COD removed as waste activated sludge </t>
  </si>
  <si>
    <t>Nin = Protein x Fracpr x Population</t>
  </si>
  <si>
    <t>where</t>
  </si>
  <si>
    <t>Protein = 0.036 (default from NGER Guidelines)</t>
  </si>
  <si>
    <t>Fracpr = 0.16 (default from NGER Guidelines)</t>
  </si>
  <si>
    <t>(l)</t>
  </si>
  <si>
    <t>(m)</t>
  </si>
  <si>
    <t>(n)</t>
  </si>
  <si>
    <t>Ntrl = 0.05 x Mtrl</t>
  </si>
  <si>
    <t>Ntro = 0</t>
  </si>
  <si>
    <t xml:space="preserve">Nout = Nin - Ntrl - Ntro </t>
  </si>
  <si>
    <t>Ej = (Nin - Ntrl - Ntro - Nout) x EFsecij + Nout x Efdisij</t>
  </si>
  <si>
    <t>and Efdisij is the emission factor for the discharge environments shown below in CO2-e per tonne nitrogen</t>
  </si>
  <si>
    <t xml:space="preserve">Discharge to enclosed waters </t>
  </si>
  <si>
    <t xml:space="preserve">Discharge to estuarine waters </t>
  </si>
  <si>
    <t>Discharge to open coastal waters</t>
  </si>
  <si>
    <t>Efdisij</t>
  </si>
  <si>
    <t>Nencw =</t>
  </si>
  <si>
    <r>
      <t xml:space="preserve">CH4gensl = (CODsl - CODtrl - COD tro) x MCFsl x EFsl   </t>
    </r>
    <r>
      <rPr>
        <sz val="10"/>
        <rFont val="Arial Narrow"/>
        <family val="2"/>
      </rPr>
      <t xml:space="preserve">in tonnes CO2-e  </t>
    </r>
  </si>
  <si>
    <r>
      <t xml:space="preserve">CH4genww = (CODw - CODsl - CODeff) x MCFww x EFw   </t>
    </r>
    <r>
      <rPr>
        <sz val="10"/>
        <rFont val="Arial Narrow"/>
        <family val="2"/>
      </rPr>
      <t xml:space="preserve">in tonnes CO2-e  </t>
    </r>
  </si>
  <si>
    <t>CH4genww =</t>
  </si>
  <si>
    <t>CH4gensl =</t>
  </si>
  <si>
    <r>
      <t xml:space="preserve">CH4genww = (CODw x 0.63) x MCFww x 5.3   </t>
    </r>
    <r>
      <rPr>
        <sz val="10"/>
        <rFont val="Arial Narrow"/>
        <family val="2"/>
      </rPr>
      <t xml:space="preserve">in tonnes CO2-e  </t>
    </r>
  </si>
  <si>
    <t>Nencw</t>
  </si>
  <si>
    <t>Nslout</t>
  </si>
  <si>
    <t>CODsl = 0.6 x CODw</t>
  </si>
  <si>
    <t>0.6*CODw</t>
  </si>
  <si>
    <t>0.05 x Mrtl</t>
  </si>
  <si>
    <t>Greenhouse Gas Calculator</t>
  </si>
  <si>
    <t>The mass of greenhouse gases can be calculated by applying appropriate conversion factors to the quantities of fuel consumed and by using appropriate formulae to calculate emissions from sewage treatment works.</t>
  </si>
  <si>
    <t>Where a utility has specific data or different circumstances, the calculator may not apply.</t>
  </si>
  <si>
    <t>Graphs of Emissions for different types of STW</t>
  </si>
  <si>
    <t>ASSUMPTIONS ADOPTED FOR THE CALCULATION OF EMISSIONS FROM STWs</t>
  </si>
  <si>
    <t>Refer to orange tabs STW1 to STW10</t>
  </si>
  <si>
    <t>unless a better estimate is available from the estimated volatile solids.</t>
  </si>
  <si>
    <r>
      <t xml:space="preserve">Methane emissions generated from wastewater treatment </t>
    </r>
    <r>
      <rPr>
        <sz val="10"/>
        <rFont val="Arial Narrow"/>
        <family val="2"/>
      </rPr>
      <t>are calculated using the formula shown in the NGER Guidelines</t>
    </r>
  </si>
  <si>
    <r>
      <t>The total methane emissions</t>
    </r>
    <r>
      <rPr>
        <sz val="10"/>
        <rFont val="Arial Narrow"/>
        <family val="2"/>
      </rPr>
      <t xml:space="preserve"> are the sum of the wastewater emissions plus sludge emissions less the methane captured</t>
    </r>
  </si>
  <si>
    <r>
      <t>Nitrogen entering the plant</t>
    </r>
    <r>
      <rPr>
        <sz val="10"/>
        <rFont val="Arial Narrow"/>
        <family val="2"/>
      </rPr>
      <t xml:space="preserve"> is assumed to be </t>
    </r>
  </si>
  <si>
    <r>
      <t>Nitrogen in sludge transferred to landfill</t>
    </r>
    <r>
      <rPr>
        <sz val="10"/>
        <rFont val="Arial Narrow"/>
        <family val="2"/>
      </rPr>
      <t xml:space="preserve"> is assumed to be 0.05 times the dry mass of sludge transferred to landfill</t>
    </r>
  </si>
  <si>
    <r>
      <t>Nitrous oxide emissions</t>
    </r>
    <r>
      <rPr>
        <sz val="10"/>
        <rFont val="Arial Narrow"/>
        <family val="2"/>
      </rPr>
      <t xml:space="preserve"> (Ej) are calculated using the formula shown in the NGER Guidelines</t>
    </r>
  </si>
  <si>
    <t>Inflow to STW is 430ML serving 5,000 people</t>
  </si>
  <si>
    <r>
      <t>To calculate emissions from the sewage treatment works, go to workhseet "</t>
    </r>
    <r>
      <rPr>
        <b/>
        <sz val="12"/>
        <rFont val="Arial Narrow"/>
        <family val="2"/>
      </rPr>
      <t>STW 1" (orange tab)</t>
    </r>
    <r>
      <rPr>
        <sz val="12"/>
        <rFont val="Arial Narrow"/>
        <family val="2"/>
      </rPr>
      <t>.</t>
    </r>
  </si>
  <si>
    <r>
      <t>To calculate emissions from water and sewerage operations, go to worksheet "</t>
    </r>
    <r>
      <rPr>
        <b/>
        <sz val="12"/>
        <rFont val="Arial Narrow"/>
        <family val="2"/>
      </rPr>
      <t>Emissions" (orange tab)</t>
    </r>
    <r>
      <rPr>
        <sz val="12"/>
        <rFont val="Arial Narrow"/>
        <family val="2"/>
      </rPr>
      <t>.</t>
    </r>
  </si>
  <si>
    <r>
      <t xml:space="preserve">Repeat as necessary for each of your STWs in worksheets </t>
    </r>
    <r>
      <rPr>
        <b/>
        <sz val="12"/>
        <rFont val="Arial Narrow"/>
        <family val="2"/>
      </rPr>
      <t xml:space="preserve">STW 2 </t>
    </r>
    <r>
      <rPr>
        <sz val="12"/>
        <rFont val="Arial Narrow"/>
        <family val="2"/>
      </rPr>
      <t xml:space="preserve">to </t>
    </r>
    <r>
      <rPr>
        <b/>
        <sz val="12"/>
        <rFont val="Arial Narrow"/>
        <family val="2"/>
      </rPr>
      <t>STW 10 (orange tabs)</t>
    </r>
    <r>
      <rPr>
        <sz val="12"/>
        <rFont val="Arial Narrow"/>
        <family val="2"/>
      </rPr>
      <t>.</t>
    </r>
  </si>
  <si>
    <r>
      <t>Go to the worksheet "</t>
    </r>
    <r>
      <rPr>
        <b/>
        <sz val="12"/>
        <rFont val="Arial Narrow"/>
        <family val="2"/>
      </rPr>
      <t>Emissions" (orange tab)</t>
    </r>
    <r>
      <rPr>
        <sz val="12"/>
        <rFont val="Arial Narrow"/>
        <family val="2"/>
      </rPr>
      <t>.</t>
    </r>
  </si>
  <si>
    <r>
      <t>Your utility's total greenhouse gas emissions are shown at the bottom of worksheet "</t>
    </r>
    <r>
      <rPr>
        <b/>
        <sz val="12"/>
        <rFont val="Arial Narrow"/>
        <family val="2"/>
      </rPr>
      <t>Emissions" (orange tab)</t>
    </r>
    <r>
      <rPr>
        <sz val="12"/>
        <rFont val="Arial Narrow"/>
        <family val="2"/>
      </rPr>
      <t>.</t>
    </r>
  </si>
  <si>
    <r>
      <t>1  Examples of common emission sources are shown in workhseet "</t>
    </r>
    <r>
      <rPr>
        <b/>
        <i/>
        <sz val="12"/>
        <rFont val="Arial Narrow"/>
        <family val="2"/>
      </rPr>
      <t>Emission Source Examples" (yellow tab)</t>
    </r>
  </si>
  <si>
    <r>
      <t>An example is provided showing the procedure for calculation of emissions (see worksheets "</t>
    </r>
    <r>
      <rPr>
        <b/>
        <sz val="12"/>
        <rFont val="Arial Narrow"/>
        <family val="2"/>
      </rPr>
      <t>Example" and "Example STW" (green tab</t>
    </r>
    <r>
      <rPr>
        <sz val="12"/>
        <rFont val="Arial Narrow"/>
        <family val="2"/>
      </rPr>
      <t>).</t>
    </r>
  </si>
  <si>
    <t>default zero</t>
  </si>
  <si>
    <t>where Mtrl is the dry mass of sludge transferred to landfill (default assumed to be CODsl)</t>
  </si>
  <si>
    <t>Factors</t>
  </si>
  <si>
    <t>Example STW (Anaerobic lagoon &lt;2m deep) serving 5,000 people</t>
  </si>
  <si>
    <t>ELECTRICITY PURCHASED FROM GRID</t>
  </si>
  <si>
    <t xml:space="preserve">LIQUID FUELS (Transport) </t>
  </si>
  <si>
    <t xml:space="preserve">LIQUID FUELS (Non Transport) </t>
  </si>
  <si>
    <t xml:space="preserve">SOLID FUELS (Non Transport) </t>
  </si>
  <si>
    <t xml:space="preserve">NATURAL GAS (Non Transport) </t>
  </si>
  <si>
    <r>
      <t xml:space="preserve">is shown in the </t>
    </r>
    <r>
      <rPr>
        <b/>
        <sz val="10"/>
        <rFont val="Arial Narrow"/>
        <family val="2"/>
      </rPr>
      <t>Example STW</t>
    </r>
    <r>
      <rPr>
        <sz val="10"/>
        <rFont val="Arial Narrow"/>
        <family val="2"/>
      </rPr>
      <t xml:space="preserve"> and is 383 t CO2-e </t>
    </r>
  </si>
  <si>
    <r>
      <rPr>
        <b/>
        <sz val="10"/>
        <rFont val="Arial Narrow"/>
        <family val="2"/>
      </rPr>
      <t>Nitrogen in sludge transferred to other than landfill</t>
    </r>
    <r>
      <rPr>
        <sz val="10"/>
        <rFont val="Arial Narrow"/>
        <family val="2"/>
      </rPr>
      <t xml:space="preserve"> is assumed to be zero</t>
    </r>
  </si>
  <si>
    <r>
      <t xml:space="preserve">Nitrogen in effluent </t>
    </r>
    <r>
      <rPr>
        <sz val="10"/>
        <rFont val="Arial Narrow"/>
        <family val="2"/>
      </rPr>
      <t>is assumed to be that remaining in effluent after sludge has been removed</t>
    </r>
  </si>
  <si>
    <t>Nin =</t>
  </si>
  <si>
    <r>
      <t>Dry mass of sludge transferred to landfill</t>
    </r>
    <r>
      <rPr>
        <sz val="10"/>
        <rFont val="Arial Narrow"/>
        <family val="2"/>
      </rPr>
      <t xml:space="preserve"> (Mtrl)</t>
    </r>
  </si>
  <si>
    <r>
      <t>Nitrogen in sludge</t>
    </r>
    <r>
      <rPr>
        <sz val="10"/>
        <rFont val="Arial Narrow"/>
        <family val="2"/>
      </rPr>
      <t xml:space="preserve"> Nsl = Ntrl + Ntro</t>
    </r>
  </si>
  <si>
    <t>Nsl =</t>
  </si>
  <si>
    <t>% effluent discharged to enclosed waters</t>
  </si>
  <si>
    <t>%</t>
  </si>
  <si>
    <t>Nestw =</t>
  </si>
  <si>
    <t>Ncw =</t>
  </si>
  <si>
    <t>Note that for most NSW utilities 100% of effluent will be discharged to enclosed waters</t>
  </si>
  <si>
    <t>% effluent discharged to estuarine waters</t>
  </si>
  <si>
    <t>% effluent discharged to open coastal waters</t>
  </si>
  <si>
    <t>Ej = (Nin - Nsl - Nout) x 4.9 + Nencw x 4.9 + Nestw x 1.2 + Ncw x 0  tonnes CO2-e</t>
  </si>
  <si>
    <t>(ie. all waters other than estuarine or open coastal waters. Default is 100%)</t>
  </si>
  <si>
    <t>Secondary sedimentation tanks or clarifiers</t>
  </si>
  <si>
    <t xml:space="preserve">Intermittently decanted extended aeration (IDEA), </t>
  </si>
  <si>
    <t>Membrane bioreactors (MBR)</t>
  </si>
  <si>
    <t xml:space="preserve">Disinfection processes (e.g. chlorination inc. contact tanks, </t>
  </si>
  <si>
    <t>Mechanical dewatering (e.g. centrifuges, belt filter presses)</t>
  </si>
  <si>
    <t>Preliminary treatment (i.e. screens and grit removal)</t>
  </si>
  <si>
    <t>Primary sedimentation tanks (PST)</t>
  </si>
  <si>
    <t>MCF Values</t>
  </si>
  <si>
    <t xml:space="preserve">    zones and anoxic zones for biological nutrient removal (BNR)</t>
  </si>
  <si>
    <t xml:space="preserve">     intermittently decanted aerated lagoons (IDAL) and </t>
  </si>
  <si>
    <t xml:space="preserve">     sequencing batch reactors (SBR)</t>
  </si>
  <si>
    <t xml:space="preserve">     ultraviolet, ozonation)</t>
  </si>
  <si>
    <t xml:space="preserve">Activated sludge processes, including anaerobic fermentation </t>
  </si>
  <si>
    <t>Methane Correction Factor (Fraction of COD anaerobically treated in wastewater (MCFww) and in sludge (MCFsl))</t>
  </si>
  <si>
    <t>Methane correction factors (MCF) for different types of treatment are provided in the NGER Guidelines</t>
  </si>
  <si>
    <r>
      <t>Nitrogen in sludge transferred to other than landfill</t>
    </r>
    <r>
      <rPr>
        <sz val="10"/>
        <rFont val="Arial Narrow"/>
        <family val="2"/>
      </rPr>
      <t xml:space="preserve"> (Ntro) assumed to be zero</t>
    </r>
  </si>
  <si>
    <r>
      <t>Nitrogen in sludge transferred to landfill</t>
    </r>
    <r>
      <rPr>
        <sz val="10"/>
        <rFont val="Arial Narrow"/>
        <family val="2"/>
      </rPr>
      <t xml:space="preserve"> (Ntrl) = 0.05xMtrl, default = 0.05xCODsl)</t>
    </r>
  </si>
  <si>
    <r>
      <t>Nitrogen entering STW</t>
    </r>
    <r>
      <rPr>
        <sz val="10"/>
        <rFont val="Arial Narrow"/>
        <family val="2"/>
      </rPr>
      <t xml:space="preserve"> (Nin) assumed to be = 0.036 x 0.16 x Population  (tonnes N)</t>
    </r>
  </si>
  <si>
    <t>Mtrl =</t>
  </si>
  <si>
    <t xml:space="preserve">VSpsl = </t>
  </si>
  <si>
    <t>VSwasl =</t>
  </si>
  <si>
    <t xml:space="preserve">CODtr = </t>
  </si>
  <si>
    <t xml:space="preserve">CODtro = </t>
  </si>
  <si>
    <t xml:space="preserve">CODtrl = </t>
  </si>
  <si>
    <t xml:space="preserve">CODeff = </t>
  </si>
  <si>
    <t xml:space="preserve">Fcodsl = </t>
  </si>
  <si>
    <t>• Preliminary treatment (i.e. screens and grit removal)</t>
  </si>
  <si>
    <t>• Primary sedimentation tanks (PST)</t>
  </si>
  <si>
    <t xml:space="preserve">• Activated sludge processes, including anaerobic fermentation </t>
  </si>
  <si>
    <t>• Secondary sedimentation tanks or clarifiers</t>
  </si>
  <si>
    <t xml:space="preserve">• Intermittently decanted extended aeration (IDEA), </t>
  </si>
  <si>
    <t>• Oxidation ditches and carrousels</t>
  </si>
  <si>
    <t>• Membrane bioreactors (MBR)</t>
  </si>
  <si>
    <t>• Mechanically aerated lagoons</t>
  </si>
  <si>
    <t>• Trickling filters</t>
  </si>
  <si>
    <t>• Dissolved air flotation</t>
  </si>
  <si>
    <t>• Aerobic digesters</t>
  </si>
  <si>
    <t>• Tertiary filtration</t>
  </si>
  <si>
    <t xml:space="preserve">• Disinfection processes (e.g. chlorination inc. contact tanks, </t>
  </si>
  <si>
    <t>• Mechanical dewatering (e.g. centrifuges, belt filter presses)</t>
  </si>
  <si>
    <t>• Gravity thickeners</t>
  </si>
  <si>
    <t>• Imhoff Tanks</t>
  </si>
  <si>
    <t>• Anaerobic digester</t>
  </si>
  <si>
    <t>• High rate anaerobic reactors</t>
  </si>
  <si>
    <t>• Facultative lagoons</t>
  </si>
  <si>
    <t>• Maturation/polishing lagoons</t>
  </si>
  <si>
    <t>• Sludge drying pans</t>
  </si>
  <si>
    <t>• Sludge lagoons</t>
  </si>
  <si>
    <t>• Covered anaerobic lagoons</t>
  </si>
  <si>
    <r>
      <t xml:space="preserve">Calculation of emissions for an example utility is shown at the green tabs </t>
    </r>
    <r>
      <rPr>
        <b/>
        <sz val="12"/>
        <rFont val="Arial Narrow"/>
        <family val="2"/>
      </rPr>
      <t>Example</t>
    </r>
    <r>
      <rPr>
        <sz val="12"/>
        <rFont val="Arial Narrow"/>
        <family val="2"/>
      </rPr>
      <t xml:space="preserve"> and </t>
    </r>
    <r>
      <rPr>
        <b/>
        <sz val="12"/>
        <rFont val="Arial Narrow"/>
        <family val="2"/>
      </rPr>
      <t>Example STW</t>
    </r>
    <r>
      <rPr>
        <sz val="12"/>
        <rFont val="Arial Narrow"/>
        <family val="2"/>
      </rPr>
      <t>.</t>
    </r>
  </si>
  <si>
    <t>GUIDANCE FOR ESTIMATING GREENHOUSE GAS EMISSIONS FROM STWs FOR NSW WATER UTILITIES</t>
  </si>
  <si>
    <t>Figure 1.  Greenhouse Gases for Various STW Types - Based on Population</t>
  </si>
  <si>
    <t>Figure 2.  Greenhouse Gases for Various STW Types - Based on Volume of Inflow</t>
  </si>
  <si>
    <t>SEWAGE TREATMENT  (emissions from STW spreadsheets, OR override with estimated emissions from STW Graphs worksheet)</t>
  </si>
  <si>
    <t>STW 3</t>
  </si>
  <si>
    <t>STW 4</t>
  </si>
  <si>
    <t>STW 5</t>
  </si>
  <si>
    <t>STW 6</t>
  </si>
  <si>
    <t>STW 7</t>
  </si>
  <si>
    <t>STW 8</t>
  </si>
  <si>
    <t>STW 9</t>
  </si>
  <si>
    <t>STW 10</t>
  </si>
  <si>
    <t>2.  Enter the data for each of your utility's STWs on sheets STW 1 to STW 10 OR override the value shown in the table below using the estimated emissions from the STW Graphs worksheet.</t>
  </si>
  <si>
    <t>3.  Enter the carbon offset (if any) in the cell for sequestration (as a NEGATIVE number).</t>
  </si>
  <si>
    <r>
      <t>4.  The</t>
    </r>
    <r>
      <rPr>
        <b/>
        <sz val="12"/>
        <rFont val="Arial Narrow"/>
        <family val="2"/>
      </rPr>
      <t xml:space="preserve"> TOTAL EMISSIONS </t>
    </r>
    <r>
      <rPr>
        <sz val="12"/>
        <rFont val="Arial Narrow"/>
        <family val="2"/>
      </rPr>
      <t>(tonnes CO2-e) are shown at the bottom of the table.</t>
    </r>
  </si>
  <si>
    <t>NAME OF STW</t>
  </si>
  <si>
    <t>From emissions calculated in 'Example STW' spreadsheet</t>
  </si>
  <si>
    <t>If a different value is estimated using the STW Graphs worksheet, this value should be entered into the blue shaded cell</t>
  </si>
  <si>
    <t>this value should be entered as an override in the blue shaded cell</t>
  </si>
  <si>
    <t>The total greenhouse gas emissions are shown below as 904.5 t CO2-e (203.5t  for water supply, 689t for sewerage and 12t for Other).</t>
  </si>
  <si>
    <t>Insert the relevant data in the blue or green cells for your STW.</t>
  </si>
  <si>
    <r>
      <t>The emissions from each of your STWs is linked into the blue shaded cells for sewage treatment in the worksheet "</t>
    </r>
    <r>
      <rPr>
        <b/>
        <sz val="12"/>
        <rFont val="Arial Narrow"/>
        <family val="2"/>
      </rPr>
      <t>Emissions" (orange tab)</t>
    </r>
    <r>
      <rPr>
        <sz val="12"/>
        <rFont val="Arial Narrow"/>
        <family val="2"/>
      </rPr>
      <t>.</t>
    </r>
  </si>
  <si>
    <r>
      <t xml:space="preserve">If you elect to use the </t>
    </r>
    <r>
      <rPr>
        <b/>
        <sz val="12"/>
        <rFont val="Arial Narrow"/>
        <family val="2"/>
      </rPr>
      <t>STW Graphs</t>
    </r>
    <r>
      <rPr>
        <sz val="12"/>
        <rFont val="Arial Narrow"/>
        <family val="2"/>
      </rPr>
      <t xml:space="preserve"> worksheet to determine the emissions from an STW, override the value shown in the </t>
    </r>
  </si>
  <si>
    <t xml:space="preserve">However, as an alternative to using the tables, you may use the graphs of emissions from typical sewage treatment works </t>
  </si>
  <si>
    <r>
      <t xml:space="preserve">          provided in the worksheet "</t>
    </r>
    <r>
      <rPr>
        <b/>
        <sz val="12"/>
        <rFont val="Arial Narrow"/>
        <family val="2"/>
      </rPr>
      <t>STW Graphs" (orange tab)</t>
    </r>
    <r>
      <rPr>
        <sz val="12"/>
        <rFont val="Arial Narrow"/>
        <family val="2"/>
      </rPr>
      <t>.</t>
    </r>
  </si>
  <si>
    <r>
      <t xml:space="preserve">          the </t>
    </r>
    <r>
      <rPr>
        <b/>
        <sz val="12"/>
        <rFont val="Arial Narrow"/>
        <family val="2"/>
      </rPr>
      <t>Emissions</t>
    </r>
    <r>
      <rPr>
        <sz val="12"/>
        <rFont val="Arial Narrow"/>
        <family val="2"/>
      </rPr>
      <t xml:space="preserve"> worksheet with the estimate obtained from the </t>
    </r>
    <r>
      <rPr>
        <b/>
        <sz val="12"/>
        <rFont val="Arial Narrow"/>
        <family val="2"/>
      </rPr>
      <t>STW Graphs</t>
    </r>
    <r>
      <rPr>
        <sz val="12"/>
        <rFont val="Arial Narrow"/>
        <family val="2"/>
      </rPr>
      <t xml:space="preserve"> worksheet.</t>
    </r>
  </si>
  <si>
    <t>Enter the accredited sequestration in the blue shaded cell for sequestration (as a NEGATIVE NUMBER).</t>
  </si>
  <si>
    <t>GUIDANCE FOR ESTIMATING GREENHOUSE GAS EMISSIONS BY NSW WATER UTILITIES</t>
  </si>
  <si>
    <t xml:space="preserve">MCFww = </t>
  </si>
  <si>
    <t xml:space="preserve">MCFsl = </t>
  </si>
  <si>
    <t>TABLE G - METHANE CORRECTION FACTORS (MCF)</t>
  </si>
  <si>
    <t xml:space="preserve">CH4gen = </t>
  </si>
  <si>
    <t xml:space="preserve">R = </t>
  </si>
  <si>
    <t xml:space="preserve">Q = </t>
  </si>
  <si>
    <t>Insert volume of methane combusted or flared if applicable</t>
  </si>
  <si>
    <t>Insert methane recovered in digester if applicable (in tonnes CO2-e)</t>
  </si>
  <si>
    <t>(If BOD in influent is known, COD in influent can be calculated from BOD x 2.6)</t>
  </si>
  <si>
    <t>can be obtained by assuming an average yearly transfer (otherwise in some years the calculated emissions would be negative).</t>
  </si>
  <si>
    <t>Where sludge is transferred to landfill or other than landfill on an intermittent basis (eg every 2 or 3 years), an approximation of the emissions</t>
  </si>
  <si>
    <t xml:space="preserve">VStro = </t>
  </si>
  <si>
    <t xml:space="preserve">VStrl = </t>
  </si>
  <si>
    <t>Volatile solids in sludge transferred to other than landfill</t>
  </si>
  <si>
    <t>COD in sludge transferred to other than landfill</t>
  </si>
  <si>
    <t>NOTE:</t>
  </si>
  <si>
    <r>
      <t>Nitrogen in wastewater</t>
    </r>
    <r>
      <rPr>
        <sz val="12"/>
        <rFont val="Arial Narrow"/>
        <family val="2"/>
      </rPr>
      <t xml:space="preserve"> (N)</t>
    </r>
  </si>
  <si>
    <r>
      <t xml:space="preserve">Nitrogen in effluent discharged to the environment </t>
    </r>
    <r>
      <rPr>
        <sz val="12"/>
        <rFont val="Arial Narrow"/>
        <family val="2"/>
      </rPr>
      <t>(Nout = Nencw+Nestw+Ncw)</t>
    </r>
  </si>
  <si>
    <t xml:space="preserve">CODw  = </t>
  </si>
  <si>
    <r>
      <t>COD in influent</t>
    </r>
    <r>
      <rPr>
        <sz val="12"/>
        <rFont val="Arial Narrow"/>
        <family val="2"/>
      </rPr>
      <t/>
    </r>
  </si>
  <si>
    <t xml:space="preserve">CH4genww = (CODw - CODsl - CODeff) x MCFww x EFw  tonnes CO2-e  </t>
  </si>
  <si>
    <r>
      <t>COD in effluent</t>
    </r>
    <r>
      <rPr>
        <sz val="12"/>
        <rFont val="Arial Narrow"/>
        <family val="2"/>
      </rPr>
      <t xml:space="preserve"> </t>
    </r>
  </si>
  <si>
    <t>EMISSIONS FROM TREATMENT OF SLUDGE</t>
  </si>
  <si>
    <t>EMISSIONS FROM TREATMENT OF WASTEWATER</t>
  </si>
  <si>
    <t xml:space="preserve">Volatile solids or COD </t>
  </si>
  <si>
    <t xml:space="preserve">Fraction COD removed as sludge (as a decimal eg. 1/3 is 0.33)  Fcodsl = </t>
  </si>
  <si>
    <r>
      <t xml:space="preserve">Quantity of COD in sludge  CODsl = (VSpsl x 1.99 + VSwasl x 1.48) </t>
    </r>
    <r>
      <rPr>
        <b/>
        <sz val="10"/>
        <rFont val="Arial Narrow"/>
        <family val="2"/>
      </rPr>
      <t>OR</t>
    </r>
    <r>
      <rPr>
        <sz val="10"/>
        <rFont val="Arial Narrow"/>
        <family val="2"/>
      </rPr>
      <t xml:space="preserve">  Fcodsl x CODw</t>
    </r>
  </si>
  <si>
    <t>Methane captured  R = 0.0142464 x Q   OR   tonnes recovered in digester</t>
  </si>
  <si>
    <t xml:space="preserve">Ej = </t>
  </si>
  <si>
    <t>TOTAL METHANE EMISSIONS</t>
  </si>
  <si>
    <t>Insert actual population served by STW (if inflow is known, this may be left blank)</t>
  </si>
  <si>
    <t>SEWAGE TREATMENT WORKS</t>
  </si>
  <si>
    <t>METHANE EMISSIONS</t>
  </si>
  <si>
    <t>FROM WASTEWATER</t>
  </si>
  <si>
    <r>
      <rPr>
        <b/>
        <sz val="12"/>
        <rFont val="Arial Narrow"/>
        <family val="2"/>
      </rPr>
      <t>OR</t>
    </r>
    <r>
      <rPr>
        <sz val="10"/>
        <rFont val="Arial Narrow"/>
        <family val="2"/>
      </rPr>
      <t xml:space="preserve">  If COD in influent is unknown, it is approximated by using a default of 0.0585 tonnes/capita</t>
    </r>
  </si>
  <si>
    <t xml:space="preserve">The fraction of COD removed as sludge from wastewater (Fcodsl) is calculated from the above. However, in the absence of </t>
  </si>
  <si>
    <t>other data, a default of 0.6 will be used for Fcodsl</t>
  </si>
  <si>
    <t xml:space="preserve">CH4gensl = (CODsl - CODtr) x MCFsl x EFsl   in tonnes CO2-e  </t>
  </si>
  <si>
    <t>TOTAL NITROUS OXIDE EMISSIONS</t>
  </si>
  <si>
    <t>Description of STW (eg. Trickling filter and oxidation pond)</t>
  </si>
  <si>
    <t xml:space="preserve">The default CODtr is zero which results in a conservatively high emission value. If no sludge is transferred out in a particular year,  </t>
  </si>
  <si>
    <t>but sludge is intermittently removed from a lagoon (eg once every 2 or 3 years), the quantity of COD in the sludge removed</t>
  </si>
  <si>
    <t>should be averaged over the cycle period as a quantity per year and inserted as CODtrl to obtain a more accurate emission value.</t>
  </si>
  <si>
    <r>
      <t xml:space="preserve">Emissions resulting from primary and secondary </t>
    </r>
    <r>
      <rPr>
        <u/>
        <sz val="10"/>
        <rFont val="Arial Narrow"/>
        <family val="2"/>
      </rPr>
      <t>wastewater treatment</t>
    </r>
    <r>
      <rPr>
        <sz val="10"/>
        <rFont val="Arial Narrow"/>
        <family val="2"/>
      </rPr>
      <t xml:space="preserve"> (ie. from the "liquid train") are calculated as follows:</t>
    </r>
  </si>
  <si>
    <r>
      <t xml:space="preserve">Emissions resulting from </t>
    </r>
    <r>
      <rPr>
        <u/>
        <sz val="10"/>
        <rFont val="Arial Narrow"/>
        <family val="2"/>
      </rPr>
      <t xml:space="preserve">sludge treatment </t>
    </r>
    <r>
      <rPr>
        <sz val="10"/>
        <rFont val="Arial Narrow"/>
        <family val="2"/>
      </rPr>
      <t>(eg anaerobic digestors, lagoons, dewatering etc) are calculated as follows:</t>
    </r>
  </si>
  <si>
    <t>NITROUS OXIDE EMISSIONS</t>
  </si>
  <si>
    <t>(If population is unknown, it is approximated by assuming ADWF for residential sewage is 200L/cap/d)</t>
  </si>
  <si>
    <t xml:space="preserve">Pop served = </t>
  </si>
  <si>
    <t>ANNUAL QUANTITY OF FUEL USED</t>
  </si>
  <si>
    <t>Based on the NATIONAL GREENHOUSE ACCOUNTS (NGA) FACTORS updated annually</t>
  </si>
  <si>
    <t>In general, formulae and factors shown below have been adopted from the "National Greenhouse And Energy System Measurement Technical Guidelines"</t>
  </si>
  <si>
    <t>the assumption that the average dry weather flow (ADWF) for residential sewage is 200 L per capita per day.</t>
  </si>
  <si>
    <t>Example Council</t>
  </si>
  <si>
    <t xml:space="preserve">A. CALCULATION OF EMISSIONS FROM WATER AND SEWERAGE OPERATIONS BY NSW WATER UTILITIES  </t>
  </si>
  <si>
    <t>Note enter carbon offset as a negative value</t>
  </si>
  <si>
    <t>The NGER Guidelines are available on the Department of the Environment website.</t>
  </si>
  <si>
    <t>However, if more detailed information is available, insert this data in the relevant green cell. This will provide a more accurate estimate.</t>
  </si>
  <si>
    <t>Trickling filter and oxidation pond</t>
  </si>
  <si>
    <t>from SLUDGE TREATMENT</t>
  </si>
  <si>
    <t xml:space="preserve">and are shown in the table below. </t>
  </si>
  <si>
    <r>
      <t xml:space="preserve">The graphs have been developed on the assumption that average dry weather flow from residential sewage is 200 L per capita per day and that the types of treatment correspond to the default fractions anaerobic shown in yellow tab </t>
    </r>
    <r>
      <rPr>
        <b/>
        <sz val="12"/>
        <rFont val="Arial"/>
        <family val="2"/>
      </rPr>
      <t>STW Assumptions</t>
    </r>
    <r>
      <rPr>
        <sz val="12"/>
        <rFont val="Arial"/>
        <family val="2"/>
      </rPr>
      <t>.</t>
    </r>
  </si>
  <si>
    <r>
      <rPr>
        <b/>
        <sz val="12"/>
        <rFont val="Arial Narrow"/>
        <family val="2"/>
      </rPr>
      <t>OR</t>
    </r>
    <r>
      <rPr>
        <sz val="10"/>
        <rFont val="Arial Narrow"/>
        <family val="2"/>
      </rPr>
      <t xml:space="preserve"> </t>
    </r>
  </si>
  <si>
    <t>in sludge treatment process</t>
  </si>
  <si>
    <r>
      <rPr>
        <b/>
        <sz val="12"/>
        <rFont val="Arial Narrow"/>
        <family val="2"/>
      </rPr>
      <t>OR</t>
    </r>
    <r>
      <rPr>
        <sz val="10"/>
        <rFont val="Arial Narrow"/>
        <family val="2"/>
      </rPr>
      <t xml:space="preserve">  If quantity of volatile solids is unknown, insert quantity of COD removed as sludge from wastewater</t>
    </r>
  </si>
  <si>
    <t>Sludge Treatment</t>
  </si>
  <si>
    <t>TREATMENT METHOD</t>
  </si>
  <si>
    <t>Type of STW for each treatment method</t>
  </si>
  <si>
    <r>
      <t xml:space="preserve">Table of default Methane Correction Factors for different types of treatment is shown below. See also yellow tab </t>
    </r>
    <r>
      <rPr>
        <b/>
        <sz val="10"/>
        <rFont val="Arial Narrow"/>
        <family val="2"/>
      </rPr>
      <t>STW Assumptions</t>
    </r>
  </si>
  <si>
    <t>Where utilities have data available for quantities of BOD/COD in the treatment process, the assumptions below may not apply.</t>
  </si>
  <si>
    <t>COD in influent to the STW (CODw) can therefore be calculated from</t>
  </si>
  <si>
    <t xml:space="preserve">Where the inflow to the STW is known but the population served is unknown, an approximation for the population served can be calculated from </t>
  </si>
  <si>
    <t>COD in effluent discharged from the STW (CODeff)</t>
  </si>
  <si>
    <t>COD in effluent discharged from the STW is assumed to be</t>
  </si>
  <si>
    <t>If CODeff is known, the actual value should be inserted to override this assumption</t>
  </si>
  <si>
    <t>The greenhouse gas emissions can be calculated using the NGER System Measurement Technical Guidelines (NGER Guidelines).</t>
  </si>
  <si>
    <t>a waste water treatment stage and a sludge treatment stage. The emissions from each stage must be added to determine the total emissions.</t>
  </si>
  <si>
    <t>Waste water treatment is a multi stage process in which the emissions from each stage can be separately calculated . This calculator assumes two stages,</t>
  </si>
  <si>
    <t xml:space="preserve">For example, treatment plants with sludge lagoons are calculated in two stages which are added together to determine the emissions. </t>
  </si>
  <si>
    <t>The type of STWs corresponding to each type of treatment are also shown in the table below</t>
  </si>
  <si>
    <r>
      <t>Methane emissions generated from sludge treatment</t>
    </r>
    <r>
      <rPr>
        <sz val="10"/>
        <rFont val="Arial Narrow"/>
        <family val="2"/>
      </rPr>
      <t xml:space="preserve"> are calculated using the formula shown in the NGER Guidelines</t>
    </r>
  </si>
  <si>
    <t>The default CODtro and CODtrl is zero which results in a conservative (high) emissions value if the COD transferred out is not taken into account.</t>
  </si>
  <si>
    <t xml:space="preserve">Default emission factor for wastewater and for sludge is </t>
  </si>
  <si>
    <r>
      <t>EFw = EFsl = 5.3 tonnes</t>
    </r>
    <r>
      <rPr>
        <sz val="10"/>
        <rFont val="Arial Narrow"/>
        <family val="2"/>
      </rPr>
      <t xml:space="preserve"> CO2-e / tonne COD </t>
    </r>
  </si>
  <si>
    <t>Quantity of COD removed as sludge from wastewater and undergoing sludge treatment (CODsl)</t>
  </si>
  <si>
    <t>where CODpsl is the quantity of COD removed as primary sludge from wastewater and undergoing sludge treatment</t>
  </si>
  <si>
    <t>In the absence of actual data, it is assumed that the COD removed as sludge (CODsl) is about 60% of COD influent to the STW</t>
  </si>
  <si>
    <t>Methane emission factor for wastewater (EFw) and for sludge (EFsl)</t>
  </si>
  <si>
    <t xml:space="preserve">Volatile solids in sludge transferred to landfill </t>
  </si>
  <si>
    <t>to landfill or other than landfill</t>
  </si>
  <si>
    <t>Sludge transferred out</t>
  </si>
  <si>
    <t>COD in sludge transferred to landfill</t>
  </si>
  <si>
    <r>
      <t xml:space="preserve">Quantity of COD in sludge transferred out  (CODtr = [VStrl + Vstro] x 1.48 </t>
    </r>
    <r>
      <rPr>
        <b/>
        <sz val="10"/>
        <rFont val="Arial Narrow"/>
        <family val="2"/>
      </rPr>
      <t>OR</t>
    </r>
    <r>
      <rPr>
        <sz val="10"/>
        <rFont val="Arial Narrow"/>
        <family val="2"/>
      </rPr>
      <t xml:space="preserve"> [CODtrl + CODtro])</t>
    </r>
  </si>
  <si>
    <t xml:space="preserve">      (If BOD in effluent is known, COD can be calculated from BOD x 2.6)</t>
  </si>
  <si>
    <t>%  Nencw=% x (Nin - Nsl)</t>
  </si>
  <si>
    <t>Nout =</t>
  </si>
  <si>
    <t>B.  CALCULATION OF GREENHOUSE GAS EMISSIONS FROM SEWAGE TREATMENT WORKS (STWs) - 2016</t>
  </si>
  <si>
    <r>
      <t xml:space="preserve">Calculate the emissions from your water and sewerage operations and also from your sewage treatment works by following steps </t>
    </r>
    <r>
      <rPr>
        <b/>
        <sz val="12"/>
        <rFont val="Arial Narrow"/>
        <family val="2"/>
      </rPr>
      <t>A</t>
    </r>
    <r>
      <rPr>
        <sz val="12"/>
        <rFont val="Arial Narrow"/>
        <family val="2"/>
      </rPr>
      <t xml:space="preserve"> to </t>
    </r>
    <r>
      <rPr>
        <b/>
        <sz val="12"/>
        <rFont val="Arial Narrow"/>
        <family val="2"/>
      </rPr>
      <t>D</t>
    </r>
    <r>
      <rPr>
        <sz val="12"/>
        <rFont val="Arial Narrow"/>
        <family val="2"/>
      </rPr>
      <t xml:space="preserve"> below</t>
    </r>
    <r>
      <rPr>
        <vertAlign val="superscript"/>
        <sz val="12"/>
        <rFont val="Arial Narrow"/>
        <family val="2"/>
      </rPr>
      <t>1</t>
    </r>
    <r>
      <rPr>
        <sz val="12"/>
        <rFont val="Arial Narrow"/>
        <family val="2"/>
      </rPr>
      <t>.</t>
    </r>
  </si>
  <si>
    <t xml:space="preserve">where   </t>
  </si>
  <si>
    <t xml:space="preserve">Inflow  = </t>
  </si>
  <si>
    <t>MCFww (methane correction factor for wastewater) is obtained from Step 3</t>
  </si>
  <si>
    <t>CODsl (quantity (tonnes) of COD removed as sludge from wastewater) is obtained from Step 8 below</t>
  </si>
  <si>
    <t xml:space="preserve">To obtain an approximate GHG emission value, insert data in blue cells Steps 1 or 2  and 3 and 7.  Green cells may be left blank. </t>
  </si>
  <si>
    <r>
      <t xml:space="preserve">Total emissions are shown at Step 18. To calculate emissions for additional STWs, see worksheets </t>
    </r>
    <r>
      <rPr>
        <b/>
        <sz val="10"/>
        <rFont val="Arial Narrow"/>
        <family val="2"/>
      </rPr>
      <t>STW 2</t>
    </r>
    <r>
      <rPr>
        <sz val="10"/>
        <rFont val="Arial Narrow"/>
        <family val="2"/>
      </rPr>
      <t xml:space="preserve"> to </t>
    </r>
    <r>
      <rPr>
        <b/>
        <sz val="10"/>
        <rFont val="Arial Narrow"/>
        <family val="2"/>
      </rPr>
      <t>STW 10</t>
    </r>
    <r>
      <rPr>
        <sz val="10"/>
        <rFont val="Arial Narrow"/>
        <family val="2"/>
      </rPr>
      <t xml:space="preserve"> (orange tabs).</t>
    </r>
  </si>
  <si>
    <t>EFw  (Emission Factor wastewater) is 6.3 tonnes CO2-e per tonne COD  (REVISED UP from 5.3 tonnes in 2015/16)</t>
  </si>
  <si>
    <t>Insert the quantity of volatile solids removed as sludge from wastewater and undergoing sludge treatment (or if unknown leave blank)</t>
  </si>
  <si>
    <t>and treated at the plant (or if unknown leave blank)</t>
  </si>
  <si>
    <r>
      <rPr>
        <b/>
        <sz val="12"/>
        <rFont val="Arial Narrow"/>
        <family val="2"/>
      </rPr>
      <t>OR</t>
    </r>
    <r>
      <rPr>
        <sz val="10"/>
        <rFont val="Arial Narrow"/>
        <family val="2"/>
      </rPr>
      <t xml:space="preserve">  If CODsl is unknown, insert fraction of CODw removed as sludge from wastewater (or if unknown leave blank)</t>
    </r>
  </si>
  <si>
    <t>Insert quantity of COD in effluent leaving the STW (or if unknown leave blank)</t>
  </si>
  <si>
    <t>Insert quantity of COD in influent wastewater (or if unknown leave blank)</t>
  </si>
  <si>
    <t>Insert the quantity of volatile solids in sludge transferred after treatment to landfill or other than landfill (or if unknown leave blank)</t>
  </si>
  <si>
    <r>
      <rPr>
        <b/>
        <sz val="12"/>
        <rFont val="Arial Narrow"/>
        <family val="2"/>
      </rPr>
      <t>OR</t>
    </r>
    <r>
      <rPr>
        <sz val="10"/>
        <rFont val="Arial Narrow"/>
        <family val="2"/>
      </rPr>
      <t xml:space="preserve">  If the volatile solids are unknown, insert the quantity of COD in sludge transferred (or if unknown leave blank)</t>
    </r>
  </si>
  <si>
    <t>EFsl  (Emission Factor sludge) is 6.3 tonnes CO2-e per tonne COD  (REVISED UP from 5.3 tonnes in 2015/16)</t>
  </si>
  <si>
    <t>MCFsl (methane correction factor for sludge) is obtained from Step 7</t>
  </si>
  <si>
    <t xml:space="preserve">Total Methane Emissions = </t>
  </si>
  <si>
    <t>TOTAL METHANE GENERATED</t>
  </si>
  <si>
    <t>GENERATED</t>
  </si>
  <si>
    <t>TOTAL METHANE</t>
  </si>
  <si>
    <t xml:space="preserve">CH4gen = CH4genww  + CH4gensl </t>
  </si>
  <si>
    <t>Total methane generated is the sum of methane generated from wastewater (Step 6) plus methane generated from sludge (Step 10)</t>
  </si>
  <si>
    <t>Insert volume of inflow to STW per year (if known, else enter population at Step 2)</t>
  </si>
  <si>
    <t>Volatile solids in waste activated sludge (VSwasl) (Note e below)</t>
  </si>
  <si>
    <t>Volatile solids in primary sludge (VSpsl). (Note d below)</t>
  </si>
  <si>
    <t>Select the Methane Correction Factor for sludge treatment from Table G below</t>
  </si>
  <si>
    <t>Treatment</t>
  </si>
  <si>
    <t>Type of Wastewater</t>
  </si>
  <si>
    <t>Select the Methane Correction Factor (MCFww) for the appropriate type of wastewater treatment from Table G below</t>
  </si>
  <si>
    <t>If COD in effluent is unknown, a default will be adopted as follows</t>
  </si>
  <si>
    <t>captured or recovered</t>
  </si>
  <si>
    <t>Methane emissions</t>
  </si>
  <si>
    <t>Total Methane Emissions = CH4gen - R</t>
  </si>
  <si>
    <t>Total methane emissions = total methane generated (Step 11) - methane captured or recovered (R) (Step 12)</t>
  </si>
  <si>
    <t>Insert Mtrl (or if unknown leave blank)</t>
  </si>
  <si>
    <t xml:space="preserve">Total GHG Emissions = Total Methane Emissions plus Total Nitrous Oxide Emissions </t>
  </si>
  <si>
    <t xml:space="preserve">(CH4gen - R) + Ej = </t>
  </si>
  <si>
    <t>D.  Managed Aerobic treatment and shallow pond &lt;2m</t>
  </si>
  <si>
    <t>A.  Unmanaged aerobic treatment, Deep Pond</t>
  </si>
  <si>
    <t>B.  Unmanaged aerobic, shallow lagoon</t>
  </si>
  <si>
    <t xml:space="preserve">E. Trickle Filter &amp;  Shallow Pond </t>
  </si>
  <si>
    <t>C.  Managed aerobic with anaerobic digestor</t>
  </si>
  <si>
    <t>F.  Gravity thickener and deep pond &gt;2m</t>
  </si>
  <si>
    <t>200 L per capita</t>
  </si>
  <si>
    <t>Methane Emissions
Wastewater</t>
  </si>
  <si>
    <t>Methane Emissions
sludge</t>
  </si>
  <si>
    <t>D.  Managed Aerobic and shallow pond &lt;2m</t>
  </si>
  <si>
    <t>E.  Trickle Filter and shallow pond &lt;2m</t>
  </si>
  <si>
    <t>Aerated lagoon</t>
  </si>
  <si>
    <t>IDEA , Trickling filter, IDAL, MBR</t>
  </si>
  <si>
    <t>Gravity thickeners, Imhoff Tanks</t>
  </si>
  <si>
    <t>Shallow lagoon</t>
  </si>
  <si>
    <t>Deep lagoon</t>
  </si>
  <si>
    <t>Aerobic digester</t>
  </si>
  <si>
    <t>D, E</t>
  </si>
  <si>
    <t>A, F</t>
  </si>
  <si>
    <t>Multiplier calculated from Factors</t>
  </si>
  <si>
    <t>Multiplier (updated for current year)</t>
  </si>
  <si>
    <t xml:space="preserve">                     </t>
  </si>
  <si>
    <t>B.  CALCULATION OF GREENHOUSE GAS EMISSIONS FROM SEWAGE TREATMENT WORKS (STWs) - 2018</t>
  </si>
  <si>
    <t>http://www.environment.gov.au/climate-change/climate-science-data/greenhouse-gas-measurement/publications/national-greenhouse-accounts-factors-july-2018</t>
  </si>
  <si>
    <t>REVISED JUNE 2019 USING THE JULY 2018 NGA FACTORS</t>
  </si>
  <si>
    <t>In order to assist NSW utilities in estimating the greenhouse gas emissions resulting from their water and sewerage operations, DPIE Water has developed this greenhouse gas calculator for use by NSW utilities. This will simplify and standardise the process.</t>
  </si>
  <si>
    <r>
      <t xml:space="preserve">The resulting emissions should be entered in your Performance Monitoring Database.
  </t>
    </r>
    <r>
      <rPr>
        <sz val="12"/>
        <color rgb="FF0000FF"/>
        <rFont val="Arial Narrow"/>
        <family val="2"/>
      </rPr>
      <t xml:space="preserve"> - The results to be entered for water-operating emissions (WB148a) in our database is the value in worksheet "Emissions" cell "H82".
   - The results to be entered for sewerage-operating emissions (SB80a) in our database is the value in worksheet "Emissions" cell "I82".
   - The results to be entered for net administrative emissions (WB148b &amp; SB80b) in our database is from the value in worksheet "Emissions" cell "J82".
     If your utility cannot split this value between water and sewerage, report this value under water-net administratvie emissions (WB148b).</t>
    </r>
    <r>
      <rPr>
        <sz val="12"/>
        <rFont val="Arial Narrow"/>
        <family val="2"/>
      </rPr>
      <t xml:space="preserve">
This Calculator Spreadsheet is for guidance only and should not be forwarded to DPIE Water.</t>
    </r>
  </si>
  <si>
    <t>The calculator is a spreadsheet based on the Australian Government factors and also includes some simplifying assumptions for sewage treatment.</t>
  </si>
  <si>
    <t>The Federal Government provides guidance in the calculation of emissions and has published supporting information including tables of conversion factors and formula for the calculation of emissions from sewage treatment works (see National Greenhouse and Energy Reporting published by the Australian Government Department of the Environment and Energy at the following web address:</t>
  </si>
  <si>
    <t>Note that the worksheet "Emissions" is based on Tables 1 to 5 of the Australian Government Department of the Environment and Energy "National Greenhouse Accounts (NGA) Factors". NSW DPIE Water will update this worksheet as updates become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</si>
</sst>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0"/>
  </numFmts>
  <fonts count="51" x14ac:knownFonts="1">
    <font>
      <sz val="10"/>
      <name val="Arial"/>
    </font>
    <font>
      <b/>
      <sz val="10"/>
      <name val="Arial"/>
      <family val="2"/>
    </font>
    <font>
      <sz val="8"/>
      <name val="Arial"/>
      <family val="2"/>
    </font>
    <font>
      <sz val="10"/>
      <name val="Arial"/>
      <family val="2"/>
    </font>
    <font>
      <sz val="10"/>
      <name val="Arial Narrow"/>
      <family val="2"/>
    </font>
    <font>
      <b/>
      <sz val="10"/>
      <name val="Arial Narrow"/>
      <family val="2"/>
    </font>
    <font>
      <sz val="9"/>
      <name val="Arial Narrow"/>
      <family val="2"/>
    </font>
    <font>
      <vertAlign val="superscript"/>
      <sz val="10"/>
      <name val="Arial Narrow"/>
      <family val="2"/>
    </font>
    <font>
      <b/>
      <sz val="12"/>
      <name val="Arial Narrow"/>
      <family val="2"/>
    </font>
    <font>
      <b/>
      <sz val="9"/>
      <name val="Arial Narrow"/>
      <family val="2"/>
    </font>
    <font>
      <sz val="10"/>
      <color indexed="23"/>
      <name val="Arial Narrow"/>
      <family val="2"/>
    </font>
    <font>
      <b/>
      <sz val="10"/>
      <color indexed="23"/>
      <name val="Arial Narrow"/>
      <family val="2"/>
    </font>
    <font>
      <sz val="9"/>
      <color indexed="23"/>
      <name val="Arial Narrow"/>
      <family val="2"/>
    </font>
    <font>
      <sz val="8"/>
      <color indexed="23"/>
      <name val="Arial Narrow"/>
      <family val="2"/>
    </font>
    <font>
      <b/>
      <sz val="8"/>
      <color indexed="23"/>
      <name val="Arial Narrow"/>
      <family val="2"/>
    </font>
    <font>
      <b/>
      <sz val="14"/>
      <name val="Arial Narrow"/>
      <family val="2"/>
    </font>
    <font>
      <b/>
      <sz val="14"/>
      <name val="Arial"/>
      <family val="2"/>
    </font>
    <font>
      <b/>
      <sz val="12"/>
      <name val="Arial"/>
      <family val="2"/>
    </font>
    <font>
      <b/>
      <sz val="8"/>
      <color indexed="81"/>
      <name val="Tahoma"/>
      <family val="2"/>
    </font>
    <font>
      <u/>
      <sz val="10"/>
      <name val="Arial"/>
      <family val="2"/>
    </font>
    <font>
      <sz val="9"/>
      <name val="Arial"/>
      <family val="2"/>
    </font>
    <font>
      <sz val="12"/>
      <name val="Arial"/>
      <family val="2"/>
    </font>
    <font>
      <sz val="12"/>
      <name val="Arial"/>
      <family val="2"/>
    </font>
    <font>
      <sz val="12"/>
      <name val="Arial Narrow"/>
      <family val="2"/>
    </font>
    <font>
      <b/>
      <sz val="18"/>
      <name val="Arial"/>
      <family val="2"/>
    </font>
    <font>
      <b/>
      <sz val="12"/>
      <name val="Arial"/>
      <family val="2"/>
    </font>
    <font>
      <b/>
      <sz val="18"/>
      <name val="Arial Narrow"/>
      <family val="2"/>
    </font>
    <font>
      <sz val="10"/>
      <color indexed="10"/>
      <name val="Arial Narrow"/>
      <family val="2"/>
    </font>
    <font>
      <b/>
      <sz val="10"/>
      <color indexed="10"/>
      <name val="Arial Narrow"/>
      <family val="2"/>
    </font>
    <font>
      <b/>
      <sz val="16"/>
      <name val="Arial Narrow"/>
      <family val="2"/>
    </font>
    <font>
      <vertAlign val="superscript"/>
      <sz val="12"/>
      <name val="Arial Narrow"/>
      <family val="2"/>
    </font>
    <font>
      <b/>
      <sz val="16"/>
      <name val="Arial"/>
      <family val="2"/>
    </font>
    <font>
      <i/>
      <sz val="12"/>
      <name val="Arial Narrow"/>
      <family val="2"/>
    </font>
    <font>
      <b/>
      <i/>
      <sz val="12"/>
      <name val="Arial Narrow"/>
      <family val="2"/>
    </font>
    <font>
      <i/>
      <sz val="10"/>
      <name val="Arial Narrow"/>
      <family val="2"/>
    </font>
    <font>
      <u/>
      <sz val="10"/>
      <color indexed="12"/>
      <name val="Arial"/>
      <family val="2"/>
    </font>
    <font>
      <sz val="11"/>
      <name val="Arial Narrow"/>
      <family val="2"/>
    </font>
    <font>
      <u/>
      <sz val="10"/>
      <name val="Arial Narrow"/>
      <family val="2"/>
    </font>
    <font>
      <b/>
      <i/>
      <sz val="10"/>
      <name val="Arial Narrow"/>
      <family val="2"/>
    </font>
    <font>
      <sz val="10"/>
      <color theme="0" tint="-0.499984740745262"/>
      <name val="Arial Narrow"/>
      <family val="2"/>
    </font>
    <font>
      <sz val="10"/>
      <color rgb="FFFF0000"/>
      <name val="Arial Narrow"/>
      <family val="2"/>
    </font>
    <font>
      <sz val="10"/>
      <color theme="2" tint="-0.89999084444715716"/>
      <name val="Arial Narrow"/>
      <family val="2"/>
    </font>
    <font>
      <sz val="9"/>
      <color theme="2" tint="-0.89999084444715716"/>
      <name val="Arial Narrow"/>
      <family val="2"/>
    </font>
    <font>
      <sz val="10"/>
      <color rgb="FF808080"/>
      <name val="Arial Narrow"/>
      <family val="2"/>
    </font>
    <font>
      <b/>
      <sz val="10"/>
      <color rgb="FF808080"/>
      <name val="Arial Narrow"/>
      <family val="2"/>
    </font>
    <font>
      <b/>
      <sz val="12"/>
      <color rgb="FFFF0000"/>
      <name val="Arial Narrow"/>
      <family val="2"/>
    </font>
    <font>
      <b/>
      <sz val="10"/>
      <color rgb="FFFF0000"/>
      <name val="Arial Narrow"/>
      <family val="2"/>
    </font>
    <font>
      <sz val="12"/>
      <color rgb="FFFF0000"/>
      <name val="Arial Narrow"/>
      <family val="2"/>
    </font>
    <font>
      <b/>
      <sz val="10"/>
      <color theme="8" tint="-0.499984740745262"/>
      <name val="Arial Narrow"/>
      <family val="2"/>
    </font>
    <font>
      <b/>
      <sz val="10"/>
      <color theme="2" tint="-0.89999084444715716"/>
      <name val="Arial Narrow"/>
      <family val="2"/>
    </font>
    <font>
      <sz val="12"/>
      <color rgb="FF0000FF"/>
      <name val="Arial Narrow"/>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rgb="FF99CCFF"/>
        <bgColor indexed="64"/>
      </patternFill>
    </fill>
    <fill>
      <patternFill patternType="solid">
        <fgColor rgb="FFC0C0C0"/>
        <bgColor indexed="64"/>
      </patternFill>
    </fill>
    <fill>
      <patternFill patternType="solid">
        <fgColor rgb="FFFFFF00"/>
        <bgColor indexed="64"/>
      </patternFill>
    </fill>
    <fill>
      <patternFill patternType="solid">
        <fgColor rgb="FFFFFFCC"/>
        <bgColor indexed="64"/>
      </patternFill>
    </fill>
  </fills>
  <borders count="53">
    <border>
      <left/>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35" fillId="0" borderId="0" applyNumberFormat="0" applyFill="0" applyBorder="0" applyAlignment="0" applyProtection="0">
      <alignment vertical="top"/>
      <protection locked="0"/>
    </xf>
  </cellStyleXfs>
  <cellXfs count="740">
    <xf numFmtId="0" fontId="0" fillId="0" borderId="0" xfId="0"/>
    <xf numFmtId="0" fontId="1" fillId="0" borderId="0" xfId="0" applyFont="1"/>
    <xf numFmtId="0" fontId="0" fillId="0" borderId="0" xfId="0" applyAlignment="1">
      <alignment horizontal="center"/>
    </xf>
    <xf numFmtId="0" fontId="4" fillId="0" borderId="0" xfId="0" applyFont="1"/>
    <xf numFmtId="0" fontId="5" fillId="0" borderId="0" xfId="0" applyFont="1" applyAlignment="1">
      <alignment horizontal="center"/>
    </xf>
    <xf numFmtId="0" fontId="0" fillId="0" borderId="0" xfId="0" applyBorder="1"/>
    <xf numFmtId="0" fontId="4" fillId="0" borderId="0" xfId="0" applyFont="1" applyAlignment="1">
      <alignment horizontal="center"/>
    </xf>
    <xf numFmtId="0" fontId="4" fillId="0" borderId="0" xfId="0" applyFont="1" applyBorder="1" applyAlignment="1">
      <alignment horizontal="center"/>
    </xf>
    <xf numFmtId="0" fontId="15" fillId="0" borderId="0" xfId="0" applyFont="1"/>
    <xf numFmtId="0" fontId="0" fillId="0" borderId="1" xfId="0" applyBorder="1"/>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4" xfId="0" applyFont="1" applyFill="1" applyBorder="1" applyAlignment="1">
      <alignment horizontal="left" vertical="center" indent="1"/>
    </xf>
    <xf numFmtId="0" fontId="5" fillId="0" borderId="5" xfId="0" applyFont="1" applyFill="1" applyBorder="1" applyAlignment="1">
      <alignment horizontal="left" vertical="center" inden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0" borderId="0" xfId="0" applyFont="1" applyFill="1" applyBorder="1" applyAlignment="1">
      <alignment horizontal="left" vertical="center" indent="1"/>
    </xf>
    <xf numFmtId="0" fontId="5" fillId="0" borderId="8" xfId="0" applyFont="1" applyFill="1" applyBorder="1" applyAlignment="1">
      <alignment horizontal="left" vertical="center" inden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xf numFmtId="0" fontId="0" fillId="0" borderId="12" xfId="0" applyBorder="1"/>
    <xf numFmtId="0" fontId="8" fillId="0" borderId="0" xfId="0" applyFont="1"/>
    <xf numFmtId="0" fontId="5" fillId="0" borderId="0" xfId="0" applyFont="1" applyAlignment="1">
      <alignment vertical="top"/>
    </xf>
    <xf numFmtId="0" fontId="5"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top"/>
    </xf>
    <xf numFmtId="0" fontId="5" fillId="0" borderId="0" xfId="0" applyFont="1" applyAlignment="1">
      <alignment horizontal="left" vertical="top"/>
    </xf>
    <xf numFmtId="0" fontId="5" fillId="0" borderId="0" xfId="0" applyFont="1"/>
    <xf numFmtId="0" fontId="17" fillId="0" borderId="0" xfId="0" applyFont="1" applyAlignment="1">
      <alignment vertical="center"/>
    </xf>
    <xf numFmtId="0" fontId="19" fillId="0" borderId="13" xfId="0" applyFont="1" applyBorder="1" applyAlignment="1">
      <alignment horizontal="center" vertical="center" wrapText="1"/>
    </xf>
    <xf numFmtId="0" fontId="5" fillId="0" borderId="14" xfId="0" applyFont="1" applyFill="1" applyBorder="1" applyAlignment="1">
      <alignment horizontal="left" vertical="center" indent="1"/>
    </xf>
    <xf numFmtId="0" fontId="5" fillId="0" borderId="11" xfId="0" applyFont="1" applyFill="1" applyBorder="1" applyAlignment="1">
      <alignment horizontal="left" vertical="center" indent="1"/>
    </xf>
    <xf numFmtId="0" fontId="5" fillId="3" borderId="15" xfId="0" applyFont="1" applyFill="1" applyBorder="1" applyAlignment="1">
      <alignment horizontal="center" vertical="center" wrapText="1"/>
    </xf>
    <xf numFmtId="0" fontId="0" fillId="0" borderId="16" xfId="0" applyBorder="1" applyAlignment="1">
      <alignment horizontal="center" vertical="center" wrapText="1"/>
    </xf>
    <xf numFmtId="0" fontId="5" fillId="0" borderId="17" xfId="0" applyFont="1" applyFill="1" applyBorder="1" applyAlignment="1">
      <alignment horizontal="left" vertical="center" inden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4" fillId="0" borderId="0" xfId="0" applyFont="1" applyAlignment="1">
      <alignment horizontal="center" vertical="top"/>
    </xf>
    <xf numFmtId="0" fontId="4" fillId="0" borderId="0" xfId="0" applyFont="1" applyFill="1" applyAlignment="1">
      <alignment horizontal="left" vertical="top"/>
    </xf>
    <xf numFmtId="0" fontId="4" fillId="0" borderId="0" xfId="0" applyFont="1" applyFill="1"/>
    <xf numFmtId="0" fontId="8" fillId="0" borderId="0" xfId="0" applyFont="1" applyAlignment="1">
      <alignment horizontal="left" vertical="top"/>
    </xf>
    <xf numFmtId="0" fontId="8" fillId="0" borderId="0" xfId="0" applyFont="1" applyAlignment="1">
      <alignment vertical="top"/>
    </xf>
    <xf numFmtId="164" fontId="0" fillId="0" borderId="16" xfId="0" applyNumberFormat="1" applyBorder="1" applyAlignment="1">
      <alignment horizontal="center" vertical="center" wrapText="1"/>
    </xf>
    <xf numFmtId="164" fontId="0" fillId="0" borderId="19" xfId="0" applyNumberFormat="1" applyBorder="1" applyAlignment="1">
      <alignment horizontal="center" vertical="center" wrapText="1"/>
    </xf>
    <xf numFmtId="164" fontId="0" fillId="0" borderId="1" xfId="0" applyNumberFormat="1" applyBorder="1" applyAlignment="1">
      <alignment horizontal="center" vertical="center" wrapText="1"/>
    </xf>
    <xf numFmtId="0" fontId="5" fillId="0" borderId="20" xfId="0" applyFont="1" applyFill="1" applyBorder="1" applyAlignment="1">
      <alignment horizontal="left" vertical="center" indent="1"/>
    </xf>
    <xf numFmtId="0" fontId="0" fillId="0" borderId="0"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quotePrefix="1" applyFont="1" applyFill="1" applyBorder="1" applyAlignment="1">
      <alignment horizontal="center" vertical="center" wrapText="1"/>
    </xf>
    <xf numFmtId="0" fontId="6" fillId="3" borderId="22" xfId="0" applyFont="1" applyFill="1" applyBorder="1" applyAlignment="1">
      <alignment horizontal="center" vertical="center" wrapText="1"/>
    </xf>
    <xf numFmtId="0" fontId="20" fillId="0" borderId="0" xfId="0" applyFont="1"/>
    <xf numFmtId="0" fontId="5" fillId="0" borderId="23" xfId="0" applyFont="1" applyFill="1" applyBorder="1" applyAlignment="1">
      <alignment horizontal="left" vertical="center" indent="1"/>
    </xf>
    <xf numFmtId="0" fontId="5" fillId="0" borderId="24" xfId="0" applyFont="1" applyFill="1" applyBorder="1" applyAlignment="1">
      <alignment horizontal="left" vertical="center" indent="1"/>
    </xf>
    <xf numFmtId="0" fontId="5" fillId="0" borderId="25" xfId="0" applyFont="1" applyFill="1" applyBorder="1" applyAlignment="1">
      <alignment horizontal="left" vertical="center" indent="1"/>
    </xf>
    <xf numFmtId="0" fontId="5" fillId="0" borderId="26" xfId="0" applyFont="1" applyFill="1" applyBorder="1" applyAlignment="1">
      <alignment horizontal="left" vertical="center" inden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0" fillId="0" borderId="0" xfId="0" applyFill="1" applyBorder="1" applyAlignment="1">
      <alignment horizontal="center" vertical="center" wrapText="1"/>
    </xf>
    <xf numFmtId="164" fontId="0" fillId="0" borderId="21" xfId="0" applyNumberFormat="1" applyBorder="1" applyAlignment="1">
      <alignment horizontal="center" vertical="center" wrapText="1"/>
    </xf>
    <xf numFmtId="164" fontId="0" fillId="0" borderId="9" xfId="0" applyNumberFormat="1" applyBorder="1" applyAlignment="1">
      <alignment horizontal="center" vertical="center" wrapText="1"/>
    </xf>
    <xf numFmtId="0" fontId="6" fillId="3" borderId="24" xfId="0" applyFont="1" applyFill="1" applyBorder="1" applyAlignment="1">
      <alignment horizontal="center" vertical="center" wrapText="1"/>
    </xf>
    <xf numFmtId="0" fontId="20" fillId="0" borderId="0" xfId="0" applyFont="1" applyAlignment="1">
      <alignment horizontal="center" vertical="top" wrapText="1"/>
    </xf>
    <xf numFmtId="0" fontId="0" fillId="0" borderId="0" xfId="0" applyFill="1" applyBorder="1" applyAlignment="1">
      <alignment horizontal="left" vertical="center"/>
    </xf>
    <xf numFmtId="0" fontId="0" fillId="0" borderId="2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9" xfId="0" applyBorder="1"/>
    <xf numFmtId="0" fontId="0" fillId="0" borderId="30" xfId="0" applyBorder="1"/>
    <xf numFmtId="0" fontId="0" fillId="0" borderId="17" xfId="0" applyBorder="1"/>
    <xf numFmtId="0" fontId="0" fillId="0" borderId="20" xfId="0" applyFill="1" applyBorder="1" applyAlignment="1">
      <alignment horizontal="right" vertical="center"/>
    </xf>
    <xf numFmtId="0" fontId="0" fillId="0" borderId="20" xfId="0" applyBorder="1"/>
    <xf numFmtId="0" fontId="0" fillId="0" borderId="31" xfId="0" applyBorder="1" applyAlignment="1">
      <alignment vertical="center"/>
    </xf>
    <xf numFmtId="0" fontId="1" fillId="0" borderId="31" xfId="0" applyFont="1" applyBorder="1" applyAlignment="1">
      <alignment horizontal="center" vertical="center"/>
    </xf>
    <xf numFmtId="0" fontId="0" fillId="0" borderId="32" xfId="0" applyBorder="1" applyAlignment="1">
      <alignment vertical="center"/>
    </xf>
    <xf numFmtId="0" fontId="1" fillId="0" borderId="32" xfId="0" applyFont="1"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20" fillId="0" borderId="16" xfId="0" applyFont="1" applyBorder="1"/>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21" fillId="0" borderId="0" xfId="0" applyFont="1"/>
    <xf numFmtId="0" fontId="1" fillId="0" borderId="31" xfId="0" applyFont="1" applyBorder="1" applyAlignment="1">
      <alignment horizontal="left" vertical="center"/>
    </xf>
    <xf numFmtId="0" fontId="22" fillId="0" borderId="0" xfId="0" applyFont="1" applyAlignment="1">
      <alignment vertical="center"/>
    </xf>
    <xf numFmtId="0" fontId="3" fillId="0" borderId="0" xfId="0" applyFont="1"/>
    <xf numFmtId="0" fontId="16" fillId="0" borderId="0" xfId="0" applyFont="1"/>
    <xf numFmtId="0" fontId="23" fillId="0" borderId="0" xfId="0" applyFont="1" applyAlignment="1">
      <alignment horizontal="left" vertical="top"/>
    </xf>
    <xf numFmtId="0" fontId="25" fillId="0" borderId="0" xfId="0" applyFont="1"/>
    <xf numFmtId="0" fontId="5" fillId="3" borderId="33"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5" fillId="0" borderId="29" xfId="0" applyFont="1" applyFill="1" applyBorder="1" applyAlignment="1">
      <alignment horizontal="left" vertical="center" indent="1"/>
    </xf>
    <xf numFmtId="0" fontId="5" fillId="0" borderId="30" xfId="0" applyFont="1" applyFill="1" applyBorder="1" applyAlignment="1">
      <alignment horizontal="left" vertical="center" indent="1"/>
    </xf>
    <xf numFmtId="0" fontId="1" fillId="0" borderId="20" xfId="0" applyFont="1" applyBorder="1" applyAlignment="1">
      <alignment horizontal="center"/>
    </xf>
    <xf numFmtId="0" fontId="3" fillId="0" borderId="0" xfId="0" applyFont="1" applyBorder="1" applyAlignment="1">
      <alignment horizontal="center"/>
    </xf>
    <xf numFmtId="0" fontId="0" fillId="0" borderId="16" xfId="0" applyBorder="1"/>
    <xf numFmtId="0" fontId="20" fillId="0" borderId="34"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3" fillId="0" borderId="34" xfId="0" applyFont="1" applyBorder="1" applyAlignment="1">
      <alignment horizontal="center"/>
    </xf>
    <xf numFmtId="0" fontId="3" fillId="0" borderId="32" xfId="0" applyFont="1" applyBorder="1" applyAlignment="1">
      <alignment horizontal="center"/>
    </xf>
    <xf numFmtId="165" fontId="0" fillId="0" borderId="0" xfId="0" applyNumberFormat="1"/>
    <xf numFmtId="0" fontId="15" fillId="0" borderId="0" xfId="0" applyFont="1" applyAlignment="1">
      <alignment horizontal="left" vertical="top"/>
    </xf>
    <xf numFmtId="0" fontId="5" fillId="0" borderId="0" xfId="0" applyFont="1" applyAlignment="1">
      <alignment horizontal="right"/>
    </xf>
    <xf numFmtId="0" fontId="1" fillId="0" borderId="34" xfId="0" applyFont="1" applyBorder="1" applyAlignment="1">
      <alignment horizontal="left" vertical="center"/>
    </xf>
    <xf numFmtId="0" fontId="4" fillId="0" borderId="31" xfId="0" applyFont="1" applyBorder="1"/>
    <xf numFmtId="0" fontId="4" fillId="0" borderId="0" xfId="0" applyFont="1" applyBorder="1"/>
    <xf numFmtId="0" fontId="4" fillId="0" borderId="30" xfId="0" applyFont="1" applyBorder="1"/>
    <xf numFmtId="0" fontId="5" fillId="0" borderId="0" xfId="0" applyFont="1" applyAlignment="1">
      <alignment horizontal="center" vertical="top"/>
    </xf>
    <xf numFmtId="0" fontId="0" fillId="0" borderId="29" xfId="0" applyBorder="1" applyAlignment="1">
      <alignment horizontal="center" vertical="center" wrapText="1"/>
    </xf>
    <xf numFmtId="0" fontId="19" fillId="0" borderId="35" xfId="0" applyFont="1" applyBorder="1" applyAlignment="1">
      <alignment horizontal="center" vertical="center" wrapText="1"/>
    </xf>
    <xf numFmtId="0" fontId="15" fillId="0" borderId="0" xfId="0" applyFont="1" applyFill="1"/>
    <xf numFmtId="0" fontId="8" fillId="0" borderId="0" xfId="0" applyFont="1" applyFill="1"/>
    <xf numFmtId="0" fontId="26" fillId="0" borderId="0" xfId="0" applyFont="1" applyFill="1"/>
    <xf numFmtId="0" fontId="24" fillId="0" borderId="0" xfId="0" applyFont="1" applyFill="1" applyAlignment="1">
      <alignment vertical="center"/>
    </xf>
    <xf numFmtId="0" fontId="17" fillId="0" borderId="0" xfId="0" applyFont="1" applyFill="1" applyAlignment="1">
      <alignment vertical="center"/>
    </xf>
    <xf numFmtId="0" fontId="1" fillId="0" borderId="0" xfId="0" applyFont="1" applyFill="1"/>
    <xf numFmtId="0" fontId="4" fillId="0" borderId="0" xfId="0" applyFont="1" applyFill="1" applyBorder="1" applyAlignment="1">
      <alignment horizontal="left" vertical="top"/>
    </xf>
    <xf numFmtId="3" fontId="4" fillId="0" borderId="0" xfId="0" applyNumberFormat="1" applyFont="1" applyFill="1" applyBorder="1" applyAlignment="1">
      <alignment horizontal="left" vertical="top"/>
    </xf>
    <xf numFmtId="0" fontId="5" fillId="0" borderId="0" xfId="0" applyFont="1" applyAlignment="1">
      <alignment horizontal="left"/>
    </xf>
    <xf numFmtId="166" fontId="4" fillId="0" borderId="0" xfId="0" applyNumberFormat="1" applyFont="1" applyFill="1" applyBorder="1" applyAlignment="1">
      <alignment horizontal="left" vertical="top"/>
    </xf>
    <xf numFmtId="0" fontId="5" fillId="0" borderId="0" xfId="0" applyFont="1" applyFill="1" applyBorder="1" applyAlignment="1">
      <alignment horizontal="left" vertical="top"/>
    </xf>
    <xf numFmtId="3" fontId="4" fillId="0" borderId="21" xfId="0" applyNumberFormat="1" applyFont="1" applyFill="1" applyBorder="1" applyAlignment="1">
      <alignment horizontal="left" vertical="top"/>
    </xf>
    <xf numFmtId="0" fontId="4" fillId="0" borderId="0" xfId="0" applyFont="1" applyFill="1" applyBorder="1"/>
    <xf numFmtId="0" fontId="4" fillId="0" borderId="1" xfId="0" applyFont="1" applyFill="1" applyBorder="1" applyAlignment="1">
      <alignment horizontal="left" vertical="top"/>
    </xf>
    <xf numFmtId="3" fontId="4" fillId="0" borderId="0" xfId="0" applyNumberFormat="1" applyFont="1" applyAlignment="1">
      <alignment horizontal="center" vertical="top"/>
    </xf>
    <xf numFmtId="3" fontId="4" fillId="0" borderId="0" xfId="0" applyNumberFormat="1" applyFont="1" applyFill="1" applyBorder="1" applyAlignment="1">
      <alignment horizontal="center" vertical="top"/>
    </xf>
    <xf numFmtId="166" fontId="4" fillId="0" borderId="6" xfId="0" applyNumberFormat="1" applyFont="1" applyFill="1" applyBorder="1" applyAlignment="1">
      <alignment horizontal="center" vertical="top"/>
    </xf>
    <xf numFmtId="0" fontId="5" fillId="0" borderId="0" xfId="0" applyFont="1" applyFill="1" applyBorder="1" applyAlignment="1">
      <alignment horizontal="center" vertical="top"/>
    </xf>
    <xf numFmtId="3" fontId="27" fillId="0" borderId="0" xfId="0" applyNumberFormat="1" applyFont="1" applyBorder="1" applyAlignment="1">
      <alignment horizontal="center" vertical="top"/>
    </xf>
    <xf numFmtId="3" fontId="27" fillId="0" borderId="0" xfId="0" applyNumberFormat="1" applyFont="1" applyFill="1" applyBorder="1" applyAlignment="1">
      <alignment horizontal="center" vertical="top"/>
    </xf>
    <xf numFmtId="1" fontId="0" fillId="0" borderId="1" xfId="0" applyNumberFormat="1" applyBorder="1" applyAlignment="1">
      <alignment horizontal="center" vertical="center" wrapText="1"/>
    </xf>
    <xf numFmtId="1" fontId="0" fillId="0" borderId="22" xfId="0" applyNumberFormat="1" applyBorder="1" applyAlignment="1">
      <alignment horizontal="center" vertical="center" wrapText="1"/>
    </xf>
    <xf numFmtId="1" fontId="0" fillId="0" borderId="16" xfId="0" applyNumberFormat="1" applyBorder="1" applyAlignment="1">
      <alignment horizontal="center" vertical="center" wrapText="1"/>
    </xf>
    <xf numFmtId="1" fontId="0" fillId="0" borderId="13" xfId="0" applyNumberFormat="1" applyBorder="1" applyAlignment="1">
      <alignment horizontal="center" vertical="center" wrapText="1"/>
    </xf>
    <xf numFmtId="1" fontId="0" fillId="0" borderId="19" xfId="0" applyNumberFormat="1" applyBorder="1" applyAlignment="1">
      <alignment horizontal="center" vertical="center" wrapText="1"/>
    </xf>
    <xf numFmtId="1" fontId="0" fillId="0" borderId="36" xfId="0" applyNumberFormat="1" applyBorder="1" applyAlignment="1">
      <alignment horizontal="center" vertical="center" wrapText="1"/>
    </xf>
    <xf numFmtId="1" fontId="0" fillId="0" borderId="16"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1" fontId="0" fillId="0" borderId="29" xfId="0" applyNumberFormat="1" applyFill="1" applyBorder="1" applyAlignment="1">
      <alignment horizontal="center" vertical="center" wrapText="1"/>
    </xf>
    <xf numFmtId="1" fontId="0" fillId="0" borderId="0" xfId="0" applyNumberFormat="1" applyFill="1" applyBorder="1" applyAlignment="1">
      <alignment horizontal="center" vertical="center" wrapText="1"/>
    </xf>
    <xf numFmtId="1" fontId="0" fillId="0" borderId="14" xfId="0" applyNumberFormat="1" applyFill="1" applyBorder="1" applyAlignment="1">
      <alignment horizontal="center" vertical="center" wrapText="1"/>
    </xf>
    <xf numFmtId="1" fontId="0" fillId="0" borderId="20" xfId="0" applyNumberFormat="1" applyFill="1" applyBorder="1" applyAlignment="1">
      <alignment horizontal="center" vertical="center" wrapText="1"/>
    </xf>
    <xf numFmtId="1" fontId="3" fillId="0" borderId="16" xfId="0" applyNumberFormat="1" applyFont="1" applyBorder="1" applyAlignment="1">
      <alignment horizontal="center"/>
    </xf>
    <xf numFmtId="1" fontId="3" fillId="0" borderId="1" xfId="0" applyNumberFormat="1" applyFont="1" applyBorder="1" applyAlignment="1">
      <alignment horizontal="center"/>
    </xf>
    <xf numFmtId="1" fontId="3" fillId="0" borderId="14" xfId="0" applyNumberFormat="1" applyFont="1" applyBorder="1" applyAlignment="1">
      <alignment horizontal="center"/>
    </xf>
    <xf numFmtId="1" fontId="3" fillId="0" borderId="20" xfId="0" applyNumberFormat="1" applyFont="1" applyBorder="1" applyAlignment="1">
      <alignment horizontal="center"/>
    </xf>
    <xf numFmtId="1" fontId="0" fillId="0" borderId="19" xfId="0" applyNumberFormat="1" applyFill="1" applyBorder="1" applyAlignment="1">
      <alignment horizontal="center" vertical="center" wrapText="1"/>
    </xf>
    <xf numFmtId="1" fontId="0" fillId="0" borderId="30" xfId="0" applyNumberFormat="1" applyFill="1" applyBorder="1" applyAlignment="1">
      <alignment horizontal="center" vertical="center" wrapText="1"/>
    </xf>
    <xf numFmtId="1" fontId="0" fillId="0" borderId="17" xfId="0" applyNumberFormat="1" applyFill="1" applyBorder="1" applyAlignment="1">
      <alignment horizontal="center" vertical="center" wrapText="1"/>
    </xf>
    <xf numFmtId="1" fontId="3" fillId="0" borderId="17" xfId="0" applyNumberFormat="1" applyFont="1" applyBorder="1" applyAlignment="1">
      <alignment horizontal="center"/>
    </xf>
    <xf numFmtId="0" fontId="29" fillId="0" borderId="0" xfId="0" applyFont="1"/>
    <xf numFmtId="0" fontId="4" fillId="0" borderId="37" xfId="0" applyFont="1" applyBorder="1" applyAlignment="1">
      <alignment horizontal="center"/>
    </xf>
    <xf numFmtId="3" fontId="4" fillId="2" borderId="4" xfId="0" applyNumberFormat="1" applyFont="1" applyFill="1" applyBorder="1" applyAlignment="1" applyProtection="1">
      <alignment horizontal="center"/>
      <protection locked="0"/>
    </xf>
    <xf numFmtId="3" fontId="4" fillId="2" borderId="6" xfId="0" applyNumberFormat="1" applyFont="1" applyFill="1" applyBorder="1" applyAlignment="1" applyProtection="1">
      <alignment horizontal="center"/>
      <protection locked="0"/>
    </xf>
    <xf numFmtId="1" fontId="4" fillId="2" borderId="4" xfId="0" applyNumberFormat="1" applyFont="1" applyFill="1" applyBorder="1" applyAlignment="1" applyProtection="1">
      <alignment horizontal="center"/>
      <protection locked="0"/>
    </xf>
    <xf numFmtId="1" fontId="4" fillId="2" borderId="6" xfId="0" applyNumberFormat="1" applyFont="1" applyFill="1" applyBorder="1" applyAlignment="1" applyProtection="1">
      <alignment horizontal="center"/>
      <protection locked="0"/>
    </xf>
    <xf numFmtId="164" fontId="4" fillId="2" borderId="6" xfId="0" applyNumberFormat="1" applyFont="1" applyFill="1" applyBorder="1" applyAlignment="1" applyProtection="1">
      <alignment horizontal="center"/>
      <protection locked="0"/>
    </xf>
    <xf numFmtId="166" fontId="4" fillId="2" borderId="6" xfId="0" applyNumberFormat="1" applyFont="1" applyFill="1" applyBorder="1" applyAlignment="1" applyProtection="1">
      <alignment horizontal="center" vertical="top"/>
      <protection locked="0"/>
    </xf>
    <xf numFmtId="0" fontId="4" fillId="0" borderId="0" xfId="0" applyFont="1" applyFill="1" applyAlignment="1">
      <alignment horizontal="center" vertical="top"/>
    </xf>
    <xf numFmtId="3" fontId="4" fillId="0" borderId="0" xfId="0" applyNumberFormat="1" applyFont="1" applyFill="1" applyAlignment="1">
      <alignment horizontal="center" vertical="top"/>
    </xf>
    <xf numFmtId="3" fontId="4" fillId="0" borderId="6" xfId="0" applyNumberFormat="1" applyFont="1" applyFill="1" applyBorder="1" applyAlignment="1">
      <alignment horizontal="center" vertical="top"/>
    </xf>
    <xf numFmtId="0" fontId="5" fillId="0" borderId="0" xfId="0" applyFont="1" applyFill="1" applyAlignment="1">
      <alignment horizontal="left" vertical="top"/>
    </xf>
    <xf numFmtId="0" fontId="26" fillId="0" borderId="0" xfId="0" applyFont="1"/>
    <xf numFmtId="3" fontId="23" fillId="2" borderId="4" xfId="0" applyNumberFormat="1" applyFont="1" applyFill="1" applyBorder="1" applyAlignment="1" applyProtection="1">
      <alignment horizontal="center"/>
      <protection locked="0"/>
    </xf>
    <xf numFmtId="3" fontId="23" fillId="2" borderId="6" xfId="0" applyNumberFormat="1" applyFont="1" applyFill="1" applyBorder="1" applyAlignment="1" applyProtection="1">
      <alignment horizontal="center"/>
      <protection locked="0"/>
    </xf>
    <xf numFmtId="1" fontId="23" fillId="2" borderId="4" xfId="0" applyNumberFormat="1" applyFont="1" applyFill="1" applyBorder="1" applyAlignment="1" applyProtection="1">
      <alignment horizontal="center"/>
      <protection locked="0"/>
    </xf>
    <xf numFmtId="1" fontId="23" fillId="2" borderId="6" xfId="0" applyNumberFormat="1" applyFont="1" applyFill="1" applyBorder="1" applyAlignment="1" applyProtection="1">
      <alignment horizontal="center"/>
      <protection locked="0"/>
    </xf>
    <xf numFmtId="0" fontId="23" fillId="0" borderId="0" xfId="0" applyFont="1"/>
    <xf numFmtId="0" fontId="31" fillId="0" borderId="0" xfId="0" applyFont="1"/>
    <xf numFmtId="3" fontId="4" fillId="0" borderId="1" xfId="0" applyNumberFormat="1" applyFont="1" applyFill="1" applyBorder="1" applyAlignment="1">
      <alignment horizontal="left" vertical="top"/>
    </xf>
    <xf numFmtId="0" fontId="8" fillId="0" borderId="0" xfId="0" applyFont="1" applyAlignment="1">
      <alignment horizontal="right" vertical="top"/>
    </xf>
    <xf numFmtId="0" fontId="23" fillId="0" borderId="0" xfId="0" applyFont="1" applyAlignment="1">
      <alignment vertical="top"/>
    </xf>
    <xf numFmtId="0" fontId="8" fillId="0" borderId="0" xfId="0" applyFont="1" applyAlignment="1">
      <alignment vertical="top" wrapText="1"/>
    </xf>
    <xf numFmtId="0" fontId="8" fillId="0" borderId="0" xfId="0" applyFont="1" applyAlignment="1">
      <alignment horizontal="right"/>
    </xf>
    <xf numFmtId="0" fontId="8" fillId="0" borderId="0" xfId="0" applyFont="1" applyFill="1" applyAlignment="1">
      <alignment horizontal="center" vertical="center"/>
    </xf>
    <xf numFmtId="0" fontId="32" fillId="0" borderId="0" xfId="0" applyFont="1"/>
    <xf numFmtId="0" fontId="34" fillId="0" borderId="0" xfId="0" applyFont="1"/>
    <xf numFmtId="0" fontId="0" fillId="0" borderId="19" xfId="0" applyBorder="1" applyAlignment="1">
      <alignment horizontal="left" vertical="center"/>
    </xf>
    <xf numFmtId="0" fontId="0" fillId="0" borderId="19" xfId="0" applyFill="1" applyBorder="1" applyAlignment="1">
      <alignment horizontal="left"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17" xfId="0" applyFill="1" applyBorder="1" applyAlignment="1">
      <alignment horizontal="right" vertical="center"/>
    </xf>
    <xf numFmtId="0" fontId="0" fillId="0" borderId="30"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6" xfId="0" applyBorder="1" applyAlignment="1">
      <alignment horizontal="left" vertical="center"/>
    </xf>
    <xf numFmtId="0" fontId="4" fillId="0" borderId="29" xfId="0" applyFont="1" applyBorder="1"/>
    <xf numFmtId="0" fontId="0" fillId="0" borderId="14" xfId="0" applyBorder="1"/>
    <xf numFmtId="0" fontId="0" fillId="0" borderId="16" xfId="0" applyFill="1" applyBorder="1" applyAlignment="1">
      <alignment horizontal="left" vertical="center"/>
    </xf>
    <xf numFmtId="0" fontId="0" fillId="0" borderId="29" xfId="0" applyBorder="1"/>
    <xf numFmtId="0" fontId="0" fillId="0" borderId="29" xfId="0" applyFill="1" applyBorder="1" applyAlignment="1">
      <alignment horizontal="center" vertical="center" wrapText="1"/>
    </xf>
    <xf numFmtId="0" fontId="0" fillId="0" borderId="14" xfId="0" applyFill="1" applyBorder="1" applyAlignment="1">
      <alignment horizontal="center" vertical="center" wrapText="1"/>
    </xf>
    <xf numFmtId="3" fontId="4" fillId="0" borderId="0" xfId="0" applyNumberFormat="1" applyFont="1" applyFill="1" applyBorder="1" applyAlignment="1" applyProtection="1">
      <alignment horizontal="center" vertical="top"/>
    </xf>
    <xf numFmtId="0" fontId="5" fillId="0" borderId="37" xfId="0" applyFont="1" applyBorder="1" applyAlignment="1">
      <alignment horizontal="center" vertical="top"/>
    </xf>
    <xf numFmtId="0" fontId="5" fillId="0" borderId="37" xfId="0" applyFont="1" applyBorder="1" applyAlignment="1">
      <alignment vertical="top"/>
    </xf>
    <xf numFmtId="0" fontId="4" fillId="0" borderId="37" xfId="0" applyFont="1" applyBorder="1" applyAlignment="1">
      <alignment horizontal="left" vertical="top"/>
    </xf>
    <xf numFmtId="0" fontId="4" fillId="0" borderId="37" xfId="0" applyFont="1" applyBorder="1"/>
    <xf numFmtId="0" fontId="4" fillId="0" borderId="37" xfId="0" applyFont="1" applyFill="1" applyBorder="1"/>
    <xf numFmtId="0" fontId="5" fillId="0" borderId="0" xfId="0" applyFont="1" applyFill="1"/>
    <xf numFmtId="3" fontId="4" fillId="0" borderId="0" xfId="0" applyNumberFormat="1" applyFont="1" applyFill="1" applyBorder="1" applyAlignment="1">
      <alignment horizontal="right" vertical="top"/>
    </xf>
    <xf numFmtId="0" fontId="4" fillId="0" borderId="0" xfId="0" applyFont="1" applyAlignment="1">
      <alignment horizontal="right"/>
    </xf>
    <xf numFmtId="0" fontId="4" fillId="0" borderId="0" xfId="0" applyFont="1" applyAlignment="1">
      <alignment horizontal="right" vertical="top"/>
    </xf>
    <xf numFmtId="0" fontId="4" fillId="0" borderId="0" xfId="0" applyFont="1" applyBorder="1" applyAlignment="1">
      <alignment horizontal="left" vertical="top"/>
    </xf>
    <xf numFmtId="166" fontId="4" fillId="0" borderId="0" xfId="0" applyNumberFormat="1" applyFont="1" applyFill="1" applyBorder="1" applyAlignment="1">
      <alignment horizontal="center" vertical="top"/>
    </xf>
    <xf numFmtId="3" fontId="4" fillId="0" borderId="0" xfId="0" applyNumberFormat="1" applyFont="1" applyAlignment="1">
      <alignment vertical="top"/>
    </xf>
    <xf numFmtId="3" fontId="4" fillId="0" borderId="0" xfId="0" applyNumberFormat="1" applyFont="1"/>
    <xf numFmtId="3" fontId="27" fillId="0" borderId="37" xfId="0" applyNumberFormat="1" applyFont="1" applyFill="1" applyBorder="1" applyAlignment="1">
      <alignment horizontal="center" vertical="top"/>
    </xf>
    <xf numFmtId="3" fontId="28" fillId="0" borderId="0" xfId="0" applyNumberFormat="1" applyFont="1" applyFill="1" applyBorder="1" applyAlignment="1">
      <alignment horizontal="center" vertical="top"/>
    </xf>
    <xf numFmtId="0" fontId="13" fillId="0" borderId="0" xfId="0" applyFont="1" applyAlignment="1" applyProtection="1">
      <alignment horizontal="center"/>
    </xf>
    <xf numFmtId="0" fontId="29" fillId="0" borderId="0" xfId="0" applyFont="1" applyProtection="1"/>
    <xf numFmtId="0" fontId="4" fillId="0" borderId="0" xfId="0" applyFont="1" applyAlignment="1" applyProtection="1">
      <alignment horizontal="center"/>
    </xf>
    <xf numFmtId="0" fontId="10" fillId="0" borderId="0" xfId="0" applyFont="1" applyAlignment="1" applyProtection="1">
      <alignment horizontal="center"/>
    </xf>
    <xf numFmtId="0" fontId="4" fillId="0" borderId="0" xfId="0" applyFont="1" applyProtection="1"/>
    <xf numFmtId="0" fontId="4" fillId="0" borderId="0" xfId="0" applyFont="1" applyAlignment="1" applyProtection="1">
      <alignment horizontal="left"/>
    </xf>
    <xf numFmtId="0" fontId="5" fillId="0" borderId="0" xfId="0" applyFont="1" applyAlignment="1" applyProtection="1">
      <alignment horizontal="center"/>
    </xf>
    <xf numFmtId="0" fontId="5" fillId="0" borderId="44" xfId="0" applyFont="1" applyBorder="1" applyAlignment="1" applyProtection="1">
      <alignment horizontal="center"/>
    </xf>
    <xf numFmtId="0" fontId="5" fillId="0" borderId="45" xfId="0" applyFont="1" applyBorder="1" applyAlignment="1" applyProtection="1">
      <alignment horizontal="center"/>
    </xf>
    <xf numFmtId="0" fontId="5" fillId="0" borderId="45" xfId="0" applyFont="1" applyBorder="1" applyAlignment="1" applyProtection="1">
      <alignment horizontal="left"/>
    </xf>
    <xf numFmtId="0" fontId="4" fillId="0" borderId="45" xfId="0" applyFont="1" applyBorder="1" applyAlignment="1" applyProtection="1">
      <alignment horizontal="left"/>
    </xf>
    <xf numFmtId="0" fontId="4" fillId="0" borderId="46" xfId="0" applyFont="1" applyBorder="1" applyAlignment="1" applyProtection="1">
      <alignment horizontal="left"/>
    </xf>
    <xf numFmtId="0" fontId="4" fillId="0" borderId="25" xfId="0" applyFont="1" applyBorder="1" applyAlignment="1" applyProtection="1">
      <alignment horizontal="center"/>
    </xf>
    <xf numFmtId="0" fontId="4" fillId="0" borderId="0" xfId="0" applyFont="1" applyBorder="1" applyAlignment="1" applyProtection="1">
      <alignment horizontal="center"/>
    </xf>
    <xf numFmtId="0" fontId="4" fillId="0" borderId="0" xfId="0" applyFont="1" applyBorder="1" applyAlignment="1" applyProtection="1">
      <alignment horizontal="left"/>
    </xf>
    <xf numFmtId="0" fontId="4" fillId="0" borderId="47" xfId="0" applyFont="1" applyBorder="1" applyAlignment="1" applyProtection="1">
      <alignment horizontal="left"/>
    </xf>
    <xf numFmtId="0" fontId="4" fillId="0" borderId="25" xfId="0" applyFont="1" applyBorder="1" applyAlignment="1" applyProtection="1">
      <alignment horizontal="left"/>
    </xf>
    <xf numFmtId="0" fontId="4" fillId="0" borderId="47" xfId="0" applyFont="1" applyBorder="1" applyAlignment="1" applyProtection="1"/>
    <xf numFmtId="0" fontId="4" fillId="0" borderId="48" xfId="0" applyFont="1" applyBorder="1" applyAlignment="1" applyProtection="1">
      <alignment horizontal="center"/>
    </xf>
    <xf numFmtId="0" fontId="4" fillId="0" borderId="37" xfId="0" applyFont="1" applyBorder="1" applyAlignment="1" applyProtection="1">
      <alignment horizontal="center"/>
    </xf>
    <xf numFmtId="0" fontId="4" fillId="0" borderId="37" xfId="0" applyFont="1" applyBorder="1" applyAlignment="1" applyProtection="1">
      <alignment horizontal="left"/>
    </xf>
    <xf numFmtId="0" fontId="4" fillId="0" borderId="49" xfId="0" applyFont="1" applyBorder="1" applyAlignment="1" applyProtection="1"/>
    <xf numFmtId="0" fontId="4" fillId="0" borderId="0" xfId="0" applyFont="1" applyAlignment="1" applyProtection="1"/>
    <xf numFmtId="0" fontId="8" fillId="2" borderId="0" xfId="0" applyFont="1" applyFill="1" applyBorder="1" applyAlignment="1" applyProtection="1">
      <alignment horizontal="center"/>
    </xf>
    <xf numFmtId="0" fontId="11" fillId="2" borderId="0" xfId="0" applyFont="1" applyFill="1" applyBorder="1" applyAlignment="1" applyProtection="1">
      <alignment horizontal="center"/>
    </xf>
    <xf numFmtId="0" fontId="11" fillId="0" borderId="0" xfId="0" applyFont="1" applyAlignment="1" applyProtection="1">
      <alignment horizontal="center"/>
    </xf>
    <xf numFmtId="0" fontId="14" fillId="0" borderId="0" xfId="0" applyFont="1" applyAlignment="1" applyProtection="1">
      <alignment horizontal="center"/>
    </xf>
    <xf numFmtId="0" fontId="5" fillId="0" borderId="4"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13" fillId="0" borderId="0" xfId="0" applyFont="1" applyAlignment="1" applyProtection="1">
      <alignment horizontal="center" wrapText="1"/>
    </xf>
    <xf numFmtId="0" fontId="6" fillId="0" borderId="5" xfId="0" applyFont="1" applyFill="1" applyBorder="1" applyAlignment="1" applyProtection="1">
      <alignment horizontal="center" vertical="center" wrapText="1"/>
    </xf>
    <xf numFmtId="0" fontId="6" fillId="0" borderId="38" xfId="0" applyFont="1" applyFill="1" applyBorder="1" applyAlignment="1" applyProtection="1">
      <alignment horizontal="center" vertical="center" wrapText="1"/>
    </xf>
    <xf numFmtId="0" fontId="9" fillId="0" borderId="10"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38" xfId="0" applyFont="1" applyFill="1" applyBorder="1" applyAlignment="1" applyProtection="1">
      <alignment horizontal="center" wrapText="1"/>
    </xf>
    <xf numFmtId="0" fontId="6" fillId="0" borderId="39" xfId="0" applyFont="1" applyFill="1" applyBorder="1" applyAlignment="1" applyProtection="1">
      <alignment horizontal="center" wrapText="1"/>
    </xf>
    <xf numFmtId="0" fontId="6" fillId="0" borderId="0" xfId="0" applyFont="1" applyBorder="1" applyAlignment="1" applyProtection="1">
      <alignment horizontal="center" wrapText="1"/>
    </xf>
    <xf numFmtId="0" fontId="11" fillId="0" borderId="0" xfId="0" applyFont="1" applyBorder="1" applyAlignment="1" applyProtection="1">
      <alignment horizontal="center" vertical="top" wrapText="1"/>
    </xf>
    <xf numFmtId="0" fontId="12" fillId="0" borderId="0" xfId="0" applyFont="1" applyAlignment="1" applyProtection="1">
      <alignment horizontal="center" wrapText="1"/>
    </xf>
    <xf numFmtId="0" fontId="6" fillId="0" borderId="0" xfId="0" applyFont="1" applyAlignment="1" applyProtection="1">
      <alignment horizontal="center" wrapText="1"/>
    </xf>
    <xf numFmtId="0" fontId="5" fillId="3" borderId="24" xfId="0" applyFont="1" applyFill="1" applyBorder="1" applyAlignment="1" applyProtection="1">
      <alignment horizontal="left"/>
    </xf>
    <xf numFmtId="0" fontId="5" fillId="3" borderId="30" xfId="0" applyFont="1" applyFill="1" applyBorder="1" applyAlignment="1" applyProtection="1">
      <alignment horizontal="left"/>
    </xf>
    <xf numFmtId="0" fontId="4" fillId="3" borderId="41" xfId="0" applyFont="1" applyFill="1" applyBorder="1" applyAlignment="1" applyProtection="1">
      <alignment horizontal="center"/>
    </xf>
    <xf numFmtId="0" fontId="4" fillId="3" borderId="18" xfId="0" applyFont="1" applyFill="1" applyBorder="1" applyAlignment="1" applyProtection="1">
      <alignment horizontal="center"/>
    </xf>
    <xf numFmtId="0" fontId="4" fillId="3" borderId="36" xfId="0" applyFont="1" applyFill="1" applyBorder="1" applyAlignment="1" applyProtection="1">
      <alignment horizontal="center"/>
    </xf>
    <xf numFmtId="0" fontId="4" fillId="3" borderId="0" xfId="0" applyFont="1" applyFill="1" applyBorder="1" applyAlignment="1" applyProtection="1">
      <alignment horizontal="center"/>
    </xf>
    <xf numFmtId="0" fontId="10" fillId="3" borderId="0" xfId="0" applyFont="1" applyFill="1" applyBorder="1" applyAlignment="1" applyProtection="1">
      <alignment horizontal="center"/>
    </xf>
    <xf numFmtId="0" fontId="23" fillId="0" borderId="4" xfId="0" applyFont="1" applyBorder="1" applyAlignment="1" applyProtection="1"/>
    <xf numFmtId="0" fontId="23" fillId="0" borderId="34" xfId="0" applyFont="1" applyBorder="1" applyAlignment="1" applyProtection="1">
      <alignment horizontal="center"/>
    </xf>
    <xf numFmtId="3" fontId="5" fillId="0" borderId="34" xfId="0" applyNumberFormat="1" applyFont="1" applyBorder="1" applyAlignment="1" applyProtection="1">
      <alignment horizontal="center"/>
    </xf>
    <xf numFmtId="164" fontId="4" fillId="0" borderId="4" xfId="0" applyNumberFormat="1" applyFont="1" applyBorder="1" applyAlignment="1" applyProtection="1">
      <alignment horizontal="center"/>
    </xf>
    <xf numFmtId="164" fontId="4" fillId="0" borderId="6" xfId="0" applyNumberFormat="1" applyFont="1" applyBorder="1" applyAlignment="1" applyProtection="1">
      <alignment horizontal="center"/>
    </xf>
    <xf numFmtId="164" fontId="4" fillId="0" borderId="7" xfId="0" applyNumberFormat="1" applyFont="1" applyBorder="1" applyAlignment="1" applyProtection="1">
      <alignment horizontal="center"/>
    </xf>
    <xf numFmtId="2" fontId="4" fillId="0" borderId="0" xfId="0" applyNumberFormat="1" applyFont="1" applyBorder="1" applyAlignment="1" applyProtection="1">
      <alignment horizontal="center"/>
    </xf>
    <xf numFmtId="2" fontId="10" fillId="0" borderId="0" xfId="0" applyNumberFormat="1" applyFont="1" applyBorder="1" applyAlignment="1" applyProtection="1">
      <alignment horizontal="center"/>
    </xf>
    <xf numFmtId="0" fontId="5" fillId="0" borderId="4" xfId="0" applyFont="1" applyBorder="1" applyAlignment="1" applyProtection="1">
      <alignment horizontal="right"/>
    </xf>
    <xf numFmtId="0" fontId="4" fillId="0" borderId="34" xfId="0" applyFont="1" applyBorder="1" applyAlignment="1" applyProtection="1">
      <alignment horizontal="left"/>
    </xf>
    <xf numFmtId="1" fontId="4" fillId="0" borderId="4" xfId="0" applyNumberFormat="1" applyFont="1" applyBorder="1" applyAlignment="1" applyProtection="1">
      <alignment horizontal="center"/>
    </xf>
    <xf numFmtId="1" fontId="4" fillId="0" borderId="6" xfId="0" applyNumberFormat="1" applyFont="1" applyBorder="1" applyAlignment="1" applyProtection="1">
      <alignment horizontal="center"/>
    </xf>
    <xf numFmtId="1" fontId="5" fillId="0" borderId="34" xfId="0" applyNumberFormat="1" applyFont="1" applyBorder="1" applyAlignment="1" applyProtection="1">
      <alignment horizontal="center"/>
    </xf>
    <xf numFmtId="164" fontId="5" fillId="0" borderId="4" xfId="0" applyNumberFormat="1" applyFont="1" applyBorder="1" applyAlignment="1" applyProtection="1">
      <alignment horizontal="center"/>
    </xf>
    <xf numFmtId="164" fontId="5" fillId="0" borderId="6" xfId="0" applyNumberFormat="1" applyFont="1" applyBorder="1" applyAlignment="1" applyProtection="1">
      <alignment horizontal="center"/>
    </xf>
    <xf numFmtId="164" fontId="5" fillId="0" borderId="7" xfId="0" applyNumberFormat="1" applyFont="1" applyBorder="1" applyAlignment="1" applyProtection="1">
      <alignment horizontal="center"/>
    </xf>
    <xf numFmtId="0" fontId="4" fillId="0" borderId="4" xfId="0" applyFont="1" applyBorder="1" applyAlignment="1" applyProtection="1"/>
    <xf numFmtId="0" fontId="4" fillId="0" borderId="34" xfId="0" applyFont="1" applyBorder="1" applyAlignment="1" applyProtection="1">
      <alignment horizontal="center"/>
    </xf>
    <xf numFmtId="0" fontId="10" fillId="0" borderId="0" xfId="0" applyFont="1" applyBorder="1" applyAlignment="1" applyProtection="1">
      <alignment horizontal="center"/>
    </xf>
    <xf numFmtId="0" fontId="5" fillId="3" borderId="42" xfId="0" applyFont="1" applyFill="1" applyBorder="1" applyAlignment="1" applyProtection="1">
      <alignment horizontal="left"/>
    </xf>
    <xf numFmtId="0" fontId="5" fillId="3" borderId="31" xfId="0" applyFont="1" applyFill="1" applyBorder="1" applyAlignment="1" applyProtection="1">
      <alignment horizontal="left"/>
    </xf>
    <xf numFmtId="1" fontId="5" fillId="3" borderId="42" xfId="0" applyNumberFormat="1" applyFont="1" applyFill="1" applyBorder="1" applyAlignment="1" applyProtection="1">
      <alignment horizontal="left"/>
    </xf>
    <xf numFmtId="1" fontId="5" fillId="3" borderId="31" xfId="0" applyNumberFormat="1" applyFont="1" applyFill="1" applyBorder="1" applyAlignment="1" applyProtection="1">
      <alignment horizontal="left"/>
    </xf>
    <xf numFmtId="164" fontId="4" fillId="3" borderId="4" xfId="0" applyNumberFormat="1" applyFont="1" applyFill="1" applyBorder="1" applyAlignment="1" applyProtection="1">
      <alignment horizontal="center"/>
    </xf>
    <xf numFmtId="164" fontId="4" fillId="3" borderId="6" xfId="0" applyNumberFormat="1" applyFont="1" applyFill="1" applyBorder="1" applyAlignment="1" applyProtection="1">
      <alignment horizontal="center"/>
    </xf>
    <xf numFmtId="164" fontId="4" fillId="3" borderId="7" xfId="0" applyNumberFormat="1" applyFont="1" applyFill="1" applyBorder="1" applyAlignment="1" applyProtection="1">
      <alignment horizontal="center"/>
    </xf>
    <xf numFmtId="2" fontId="5" fillId="0" borderId="0" xfId="0" applyNumberFormat="1" applyFont="1" applyBorder="1" applyAlignment="1" applyProtection="1">
      <alignment horizontal="center"/>
    </xf>
    <xf numFmtId="2" fontId="11" fillId="0" borderId="0" xfId="0" applyNumberFormat="1" applyFont="1" applyBorder="1" applyAlignment="1" applyProtection="1">
      <alignment horizontal="center"/>
    </xf>
    <xf numFmtId="0" fontId="4" fillId="0" borderId="4" xfId="0" applyFont="1" applyBorder="1" applyProtection="1"/>
    <xf numFmtId="0" fontId="4" fillId="0" borderId="4" xfId="0" applyFont="1" applyBorder="1" applyAlignment="1" applyProtection="1">
      <alignment wrapText="1"/>
    </xf>
    <xf numFmtId="1" fontId="4" fillId="0" borderId="6" xfId="0" applyNumberFormat="1" applyFont="1" applyFill="1" applyBorder="1" applyAlignment="1" applyProtection="1">
      <alignment horizontal="center"/>
    </xf>
    <xf numFmtId="0" fontId="5" fillId="0" borderId="5" xfId="0" applyFont="1" applyBorder="1" applyAlignment="1" applyProtection="1">
      <alignment horizontal="right"/>
    </xf>
    <xf numFmtId="0" fontId="4" fillId="0" borderId="10" xfId="0" applyFont="1" applyBorder="1" applyAlignment="1" applyProtection="1">
      <alignment horizontal="left"/>
    </xf>
    <xf numFmtId="1" fontId="4" fillId="0" borderId="5" xfId="0" applyNumberFormat="1" applyFont="1" applyBorder="1" applyAlignment="1" applyProtection="1">
      <alignment horizontal="center"/>
    </xf>
    <xf numFmtId="1" fontId="4" fillId="0" borderId="38" xfId="0" applyNumberFormat="1" applyFont="1" applyBorder="1" applyAlignment="1" applyProtection="1">
      <alignment horizontal="center"/>
    </xf>
    <xf numFmtId="1" fontId="5" fillId="0" borderId="10" xfId="0" applyNumberFormat="1" applyFont="1" applyBorder="1" applyAlignment="1" applyProtection="1">
      <alignment horizontal="center"/>
    </xf>
    <xf numFmtId="164" fontId="5" fillId="0" borderId="5" xfId="0" applyNumberFormat="1" applyFont="1" applyBorder="1" applyAlignment="1" applyProtection="1">
      <alignment horizontal="center"/>
    </xf>
    <xf numFmtId="164" fontId="5" fillId="0" borderId="38" xfId="0" applyNumberFormat="1" applyFont="1" applyBorder="1" applyAlignment="1" applyProtection="1">
      <alignment horizontal="center"/>
    </xf>
    <xf numFmtId="164" fontId="5" fillId="0" borderId="39" xfId="0" applyNumberFormat="1" applyFont="1" applyBorder="1" applyAlignment="1" applyProtection="1">
      <alignment horizontal="center"/>
    </xf>
    <xf numFmtId="0" fontId="5" fillId="0" borderId="0" xfId="0" applyFont="1" applyBorder="1" applyAlignment="1" applyProtection="1">
      <alignment horizontal="right"/>
    </xf>
    <xf numFmtId="1" fontId="4" fillId="0" borderId="0" xfId="0" applyNumberFormat="1" applyFont="1" applyAlignment="1" applyProtection="1">
      <alignment horizontal="center"/>
    </xf>
    <xf numFmtId="164" fontId="0" fillId="0" borderId="18" xfId="0" applyNumberFormat="1" applyBorder="1" applyAlignment="1">
      <alignment horizontal="center" vertical="center" wrapText="1"/>
    </xf>
    <xf numFmtId="0" fontId="5" fillId="0" borderId="16" xfId="0" applyFont="1" applyBorder="1" applyAlignment="1">
      <alignment horizontal="left" vertical="top"/>
    </xf>
    <xf numFmtId="0" fontId="5" fillId="0" borderId="29" xfId="0" applyFont="1" applyBorder="1" applyAlignment="1">
      <alignment horizontal="left" vertical="top"/>
    </xf>
    <xf numFmtId="0" fontId="5" fillId="0" borderId="14" xfId="0" applyFont="1" applyBorder="1" applyAlignment="1">
      <alignment horizontal="left" vertical="top"/>
    </xf>
    <xf numFmtId="0" fontId="4" fillId="0" borderId="1" xfId="0" applyFont="1" applyFill="1" applyBorder="1"/>
    <xf numFmtId="0" fontId="5" fillId="0" borderId="0" xfId="0" applyFont="1" applyBorder="1" applyAlignment="1">
      <alignment horizontal="left" vertical="top"/>
    </xf>
    <xf numFmtId="0" fontId="4" fillId="0" borderId="20" xfId="0" applyFont="1" applyBorder="1" applyAlignment="1">
      <alignment horizontal="center"/>
    </xf>
    <xf numFmtId="0" fontId="4" fillId="0" borderId="20" xfId="0" applyFont="1" applyBorder="1" applyAlignment="1">
      <alignment horizontal="center" vertical="top"/>
    </xf>
    <xf numFmtId="0" fontId="5" fillId="0" borderId="19" xfId="0" applyFont="1" applyBorder="1"/>
    <xf numFmtId="0" fontId="5" fillId="0" borderId="30" xfId="0" applyFont="1" applyBorder="1" applyAlignment="1">
      <alignment horizontal="left" vertical="top"/>
    </xf>
    <xf numFmtId="0" fontId="5" fillId="0" borderId="17" xfId="0" applyFont="1" applyBorder="1" applyAlignment="1">
      <alignment horizontal="left" vertical="top"/>
    </xf>
    <xf numFmtId="0" fontId="16" fillId="0" borderId="0" xfId="0" applyFont="1" applyFill="1" applyAlignment="1">
      <alignment vertical="center"/>
    </xf>
    <xf numFmtId="3" fontId="4" fillId="4" borderId="6" xfId="0" applyNumberFormat="1" applyFont="1" applyFill="1" applyBorder="1" applyAlignment="1" applyProtection="1">
      <alignment horizontal="center" vertical="top"/>
      <protection locked="0"/>
    </xf>
    <xf numFmtId="0" fontId="4" fillId="0" borderId="20" xfId="0" applyFont="1" applyBorder="1"/>
    <xf numFmtId="0" fontId="4" fillId="0" borderId="17" xfId="0" applyFont="1" applyBorder="1"/>
    <xf numFmtId="0" fontId="1" fillId="0" borderId="0" xfId="0" applyFont="1" applyBorder="1" applyAlignment="1">
      <alignment horizontal="lef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3" fillId="0" borderId="1" xfId="0" applyFont="1" applyFill="1" applyBorder="1" applyAlignment="1">
      <alignment horizontal="left" vertical="center"/>
    </xf>
    <xf numFmtId="0" fontId="4" fillId="0" borderId="0" xfId="0" applyFont="1" applyFill="1" applyBorder="1" applyAlignment="1">
      <alignment horizontal="center" vertical="top"/>
    </xf>
    <xf numFmtId="0" fontId="5" fillId="0" borderId="0" xfId="0" applyFont="1" applyFill="1" applyBorder="1"/>
    <xf numFmtId="0" fontId="4" fillId="0" borderId="0" xfId="0" applyFont="1" applyFill="1" applyBorder="1" applyAlignment="1">
      <alignment horizontal="center"/>
    </xf>
    <xf numFmtId="0" fontId="4" fillId="0" borderId="0" xfId="0" applyFont="1" applyFill="1" applyBorder="1" applyAlignment="1">
      <alignment vertical="top"/>
    </xf>
    <xf numFmtId="0" fontId="1"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center" vertical="center"/>
    </xf>
    <xf numFmtId="0" fontId="8" fillId="0" borderId="0" xfId="0" applyFont="1" applyFill="1" applyBorder="1" applyAlignment="1" applyProtection="1">
      <alignment vertical="center"/>
      <protection locked="0"/>
    </xf>
    <xf numFmtId="0" fontId="8" fillId="0" borderId="0" xfId="0" applyFont="1" applyAlignment="1">
      <alignment horizontal="center" vertical="center"/>
    </xf>
    <xf numFmtId="0" fontId="8" fillId="0" borderId="0" xfId="0" applyFont="1" applyFill="1" applyBorder="1" applyAlignment="1">
      <alignment horizontal="center" vertical="center"/>
    </xf>
    <xf numFmtId="0" fontId="4" fillId="5" borderId="6" xfId="0" applyFont="1" applyFill="1" applyBorder="1"/>
    <xf numFmtId="3" fontId="4" fillId="6" borderId="6" xfId="0" applyNumberFormat="1" applyFont="1" applyFill="1" applyBorder="1" applyAlignment="1" applyProtection="1">
      <alignment horizontal="center" vertical="top"/>
      <protection locked="0"/>
    </xf>
    <xf numFmtId="0" fontId="4" fillId="6" borderId="6" xfId="0" applyFont="1" applyFill="1" applyBorder="1"/>
    <xf numFmtId="164" fontId="0" fillId="0" borderId="0" xfId="0" applyNumberFormat="1" applyAlignment="1">
      <alignment horizontal="center" vertical="center"/>
    </xf>
    <xf numFmtId="164" fontId="4" fillId="0" borderId="0" xfId="0" applyNumberFormat="1" applyFont="1" applyAlignment="1">
      <alignment horizontal="center" vertical="center"/>
    </xf>
    <xf numFmtId="1" fontId="0" fillId="0" borderId="0" xfId="0" applyNumberFormat="1" applyAlignment="1">
      <alignment horizontal="center" vertical="center"/>
    </xf>
    <xf numFmtId="0" fontId="3" fillId="0" borderId="16" xfId="0" applyFont="1" applyFill="1" applyBorder="1" applyAlignment="1">
      <alignment horizontal="left" vertical="center"/>
    </xf>
    <xf numFmtId="0" fontId="3" fillId="0" borderId="19" xfId="0" applyFont="1" applyFill="1" applyBorder="1" applyAlignment="1">
      <alignment horizontal="left" vertical="center"/>
    </xf>
    <xf numFmtId="4" fontId="4" fillId="0" borderId="6" xfId="0" applyNumberFormat="1" applyFont="1" applyFill="1" applyBorder="1" applyAlignment="1" applyProtection="1">
      <alignment horizontal="center" vertical="top"/>
    </xf>
    <xf numFmtId="0" fontId="4" fillId="7" borderId="16" xfId="0" applyFont="1" applyFill="1" applyBorder="1" applyAlignment="1" applyProtection="1">
      <alignment horizontal="center"/>
    </xf>
    <xf numFmtId="1" fontId="4" fillId="7" borderId="8" xfId="0" applyNumberFormat="1" applyFont="1" applyFill="1" applyBorder="1" applyAlignment="1" applyProtection="1">
      <alignment horizontal="center"/>
    </xf>
    <xf numFmtId="1" fontId="4" fillId="7" borderId="9" xfId="0" applyNumberFormat="1" applyFont="1" applyFill="1" applyBorder="1" applyAlignment="1" applyProtection="1">
      <alignment horizontal="center"/>
    </xf>
    <xf numFmtId="1" fontId="5" fillId="7" borderId="16" xfId="0" applyNumberFormat="1" applyFont="1" applyFill="1" applyBorder="1" applyAlignment="1" applyProtection="1">
      <alignment horizontal="center"/>
    </xf>
    <xf numFmtId="164" fontId="4" fillId="7" borderId="8" xfId="0" applyNumberFormat="1" applyFont="1" applyFill="1" applyBorder="1" applyAlignment="1" applyProtection="1">
      <alignment horizontal="center"/>
    </xf>
    <xf numFmtId="164" fontId="4" fillId="7" borderId="9" xfId="0" applyNumberFormat="1" applyFont="1" applyFill="1" applyBorder="1" applyAlignment="1" applyProtection="1">
      <alignment horizontal="center"/>
    </xf>
    <xf numFmtId="164" fontId="4" fillId="7" borderId="13" xfId="0" applyNumberFormat="1" applyFont="1" applyFill="1" applyBorder="1" applyAlignment="1" applyProtection="1">
      <alignment horizontal="center"/>
    </xf>
    <xf numFmtId="0" fontId="5" fillId="7" borderId="8" xfId="0" applyFont="1" applyFill="1" applyBorder="1" applyProtection="1"/>
    <xf numFmtId="0" fontId="23" fillId="0" borderId="0" xfId="0" applyFont="1" applyAlignment="1">
      <alignment vertical="top" wrapText="1"/>
    </xf>
    <xf numFmtId="3" fontId="5" fillId="0" borderId="0" xfId="0" applyNumberFormat="1" applyFont="1" applyFill="1" applyBorder="1" applyAlignment="1">
      <alignment horizontal="right" vertical="top"/>
    </xf>
    <xf numFmtId="0" fontId="5" fillId="0" borderId="0" xfId="0" applyFont="1" applyAlignment="1">
      <alignment horizontal="right" vertical="top"/>
    </xf>
    <xf numFmtId="0" fontId="8" fillId="0" borderId="0" xfId="0" applyFont="1" applyAlignment="1">
      <alignment vertical="center"/>
    </xf>
    <xf numFmtId="0" fontId="8"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vertical="center"/>
    </xf>
    <xf numFmtId="0" fontId="8" fillId="0" borderId="0" xfId="0" applyFont="1" applyAlignment="1">
      <alignment horizontal="right" vertical="center"/>
    </xf>
    <xf numFmtId="0" fontId="17" fillId="0" borderId="0" xfId="0" applyFont="1" applyAlignment="1">
      <alignment horizontal="left" vertical="top"/>
    </xf>
    <xf numFmtId="0" fontId="4" fillId="5" borderId="6" xfId="0" applyFont="1" applyFill="1" applyBorder="1" applyAlignment="1" applyProtection="1">
      <alignment horizontal="center"/>
      <protection locked="0"/>
    </xf>
    <xf numFmtId="3" fontId="4" fillId="0" borderId="0" xfId="0" applyNumberFormat="1" applyFont="1" applyAlignment="1">
      <alignment horizontal="center"/>
    </xf>
    <xf numFmtId="167" fontId="4" fillId="0" borderId="0" xfId="0" applyNumberFormat="1" applyFont="1" applyAlignment="1">
      <alignment horizontal="center" vertical="top"/>
    </xf>
    <xf numFmtId="0" fontId="3" fillId="0" borderId="0" xfId="0" applyFont="1" applyAlignment="1">
      <alignment horizontal="center"/>
    </xf>
    <xf numFmtId="0" fontId="4" fillId="0" borderId="0" xfId="0" applyFont="1" applyFill="1" applyBorder="1" applyAlignment="1" applyProtection="1">
      <alignment horizontal="center"/>
      <protection locked="0"/>
    </xf>
    <xf numFmtId="3" fontId="5" fillId="8" borderId="6" xfId="0" applyNumberFormat="1" applyFont="1" applyFill="1" applyBorder="1" applyAlignment="1" applyProtection="1">
      <alignment horizontal="center" vertical="top"/>
    </xf>
    <xf numFmtId="3" fontId="5" fillId="8" borderId="6" xfId="0" applyNumberFormat="1" applyFont="1" applyFill="1" applyBorder="1" applyAlignment="1">
      <alignment horizontal="center" vertical="top"/>
    </xf>
    <xf numFmtId="0" fontId="5" fillId="0" borderId="0" xfId="0" applyFont="1" applyFill="1" applyAlignment="1">
      <alignment horizontal="right"/>
    </xf>
    <xf numFmtId="0" fontId="8" fillId="0" borderId="37" xfId="0" applyFont="1" applyBorder="1" applyAlignment="1">
      <alignment vertical="center"/>
    </xf>
    <xf numFmtId="0" fontId="4" fillId="0" borderId="0" xfId="0" applyFont="1" applyAlignment="1">
      <alignment horizontal="left" vertical="center"/>
    </xf>
    <xf numFmtId="0" fontId="23" fillId="0" borderId="0" xfId="0" applyFont="1" applyFill="1" applyBorder="1" applyAlignment="1" applyProtection="1">
      <alignment horizontal="left" vertical="center"/>
      <protection locked="0"/>
    </xf>
    <xf numFmtId="0" fontId="4" fillId="0" borderId="31" xfId="0" applyFont="1" applyFill="1" applyBorder="1"/>
    <xf numFmtId="3" fontId="4" fillId="0" borderId="0" xfId="0" applyNumberFormat="1" applyFont="1" applyBorder="1" applyAlignment="1">
      <alignment horizontal="center"/>
    </xf>
    <xf numFmtId="164" fontId="0" fillId="0" borderId="0" xfId="0" applyNumberFormat="1" applyBorder="1" applyAlignment="1">
      <alignment horizontal="center" vertical="center"/>
    </xf>
    <xf numFmtId="3" fontId="4" fillId="0" borderId="0" xfId="0" applyNumberFormat="1" applyFont="1" applyBorder="1" applyAlignment="1">
      <alignment vertical="top"/>
    </xf>
    <xf numFmtId="3" fontId="4" fillId="0" borderId="0" xfId="0" applyNumberFormat="1" applyFont="1" applyBorder="1" applyAlignment="1">
      <alignment horizontal="center" vertical="top"/>
    </xf>
    <xf numFmtId="1" fontId="0" fillId="0" borderId="0" xfId="0" applyNumberFormat="1" applyBorder="1" applyAlignment="1">
      <alignment horizontal="center" vertical="center"/>
    </xf>
    <xf numFmtId="0" fontId="3" fillId="0" borderId="0" xfId="0" applyFont="1" applyBorder="1"/>
    <xf numFmtId="3" fontId="4" fillId="0" borderId="0" xfId="0" applyNumberFormat="1" applyFont="1" applyBorder="1"/>
    <xf numFmtId="3" fontId="4" fillId="0" borderId="0" xfId="0" applyNumberFormat="1" applyFont="1" applyBorder="1" applyAlignment="1">
      <alignment horizontal="right" vertical="top"/>
    </xf>
    <xf numFmtId="164" fontId="4" fillId="0" borderId="0" xfId="0" applyNumberFormat="1" applyFont="1" applyBorder="1" applyAlignment="1">
      <alignment horizontal="center" vertical="center"/>
    </xf>
    <xf numFmtId="0" fontId="4" fillId="0" borderId="0" xfId="0" applyFont="1" applyBorder="1" applyAlignment="1">
      <alignment vertical="top"/>
    </xf>
    <xf numFmtId="3" fontId="5" fillId="0" borderId="0" xfId="0" applyNumberFormat="1" applyFont="1" applyFill="1" applyBorder="1" applyAlignment="1" applyProtection="1">
      <alignment horizontal="center" vertical="top"/>
    </xf>
    <xf numFmtId="0" fontId="8" fillId="0" borderId="0" xfId="0" applyFont="1" applyAlignment="1"/>
    <xf numFmtId="0" fontId="33" fillId="0" borderId="16" xfId="0" applyFont="1" applyBorder="1" applyAlignment="1">
      <alignment horizontal="right" vertical="center"/>
    </xf>
    <xf numFmtId="0" fontId="34" fillId="0" borderId="29" xfId="0" applyFont="1" applyBorder="1" applyAlignment="1">
      <alignment horizontal="left" vertical="top"/>
    </xf>
    <xf numFmtId="0" fontId="34" fillId="0" borderId="29" xfId="0" applyFont="1" applyBorder="1"/>
    <xf numFmtId="0" fontId="4" fillId="0" borderId="14" xfId="0" applyFont="1" applyBorder="1"/>
    <xf numFmtId="0" fontId="38" fillId="0" borderId="1" xfId="0" applyFont="1" applyBorder="1" applyAlignment="1">
      <alignment vertical="top"/>
    </xf>
    <xf numFmtId="0" fontId="34" fillId="0" borderId="0" xfId="0" applyFont="1" applyBorder="1" applyAlignment="1">
      <alignment horizontal="left" vertical="top"/>
    </xf>
    <xf numFmtId="0" fontId="34" fillId="0" borderId="0" xfId="0" applyFont="1" applyBorder="1"/>
    <xf numFmtId="0" fontId="38" fillId="0" borderId="19" xfId="0" applyFont="1" applyBorder="1"/>
    <xf numFmtId="0" fontId="34" fillId="0" borderId="30" xfId="0" applyFont="1" applyBorder="1" applyAlignment="1">
      <alignment horizontal="left" vertical="top"/>
    </xf>
    <xf numFmtId="0" fontId="34" fillId="0" borderId="30" xfId="0" applyFont="1" applyBorder="1"/>
    <xf numFmtId="0" fontId="8" fillId="0" borderId="0" xfId="0" applyFont="1" applyAlignment="1">
      <alignment horizontal="center" vertical="top"/>
    </xf>
    <xf numFmtId="0" fontId="23" fillId="0" borderId="0" xfId="0" applyFont="1" applyAlignment="1">
      <alignment horizontal="center" vertical="top"/>
    </xf>
    <xf numFmtId="0" fontId="23" fillId="0" borderId="0" xfId="0" applyFont="1" applyAlignment="1">
      <alignment horizontal="center" vertical="center"/>
    </xf>
    <xf numFmtId="3" fontId="46" fillId="8" borderId="6" xfId="0" applyNumberFormat="1" applyFont="1" applyFill="1" applyBorder="1" applyAlignment="1">
      <alignment horizontal="center" vertical="top"/>
    </xf>
    <xf numFmtId="0" fontId="8" fillId="0" borderId="0" xfId="0" applyFont="1" applyAlignment="1">
      <alignment horizontal="left"/>
    </xf>
    <xf numFmtId="0" fontId="5" fillId="0" borderId="0" xfId="0" applyFont="1" applyBorder="1" applyAlignment="1">
      <alignment horizontal="right" vertical="top"/>
    </xf>
    <xf numFmtId="0" fontId="1" fillId="0" borderId="31" xfId="0" applyFont="1" applyBorder="1" applyAlignment="1">
      <alignment horizontal="center" vertical="center"/>
    </xf>
    <xf numFmtId="0" fontId="1" fillId="0" borderId="32" xfId="0" applyFont="1" applyBorder="1" applyAlignment="1">
      <alignment horizontal="center" vertical="center"/>
    </xf>
    <xf numFmtId="166" fontId="5" fillId="8" borderId="6" xfId="0" applyNumberFormat="1" applyFont="1" applyFill="1" applyBorder="1" applyAlignment="1">
      <alignment horizontal="center" vertical="top"/>
    </xf>
    <xf numFmtId="0" fontId="23" fillId="9" borderId="16" xfId="0" applyFont="1" applyFill="1" applyBorder="1" applyAlignment="1">
      <alignment horizontal="center" vertical="top"/>
    </xf>
    <xf numFmtId="0" fontId="8" fillId="9" borderId="29" xfId="0" applyFont="1" applyFill="1" applyBorder="1" applyAlignment="1">
      <alignment vertical="center"/>
    </xf>
    <xf numFmtId="0" fontId="5" fillId="9" borderId="29" xfId="0" applyFont="1" applyFill="1" applyBorder="1" applyAlignment="1">
      <alignment vertical="top"/>
    </xf>
    <xf numFmtId="0" fontId="4" fillId="9" borderId="29" xfId="0" applyFont="1" applyFill="1" applyBorder="1" applyAlignment="1">
      <alignment horizontal="left" vertical="top"/>
    </xf>
    <xf numFmtId="0" fontId="4" fillId="9" borderId="29" xfId="0" applyFont="1" applyFill="1" applyBorder="1"/>
    <xf numFmtId="0" fontId="4" fillId="9" borderId="29" xfId="0" applyFont="1" applyFill="1" applyBorder="1" applyAlignment="1">
      <alignment horizontal="center"/>
    </xf>
    <xf numFmtId="0" fontId="4" fillId="9" borderId="29" xfId="0" applyFont="1" applyFill="1" applyBorder="1" applyAlignment="1">
      <alignment horizontal="center" vertical="top"/>
    </xf>
    <xf numFmtId="0" fontId="4" fillId="9" borderId="14" xfId="0" applyFont="1" applyFill="1" applyBorder="1" applyAlignment="1">
      <alignment horizontal="left" vertical="top"/>
    </xf>
    <xf numFmtId="0" fontId="8" fillId="9" borderId="1" xfId="0" applyFont="1" applyFill="1" applyBorder="1" applyAlignment="1">
      <alignment horizontal="center" vertical="top"/>
    </xf>
    <xf numFmtId="0" fontId="8" fillId="9" borderId="0" xfId="0" applyFont="1" applyFill="1" applyBorder="1" applyAlignment="1">
      <alignment horizontal="left" vertical="center"/>
    </xf>
    <xf numFmtId="0" fontId="5" fillId="9" borderId="0" xfId="0" applyFont="1" applyFill="1" applyBorder="1"/>
    <xf numFmtId="0" fontId="4" fillId="9" borderId="0" xfId="0" applyFont="1" applyFill="1" applyBorder="1" applyAlignment="1">
      <alignment horizontal="left" vertical="top"/>
    </xf>
    <xf numFmtId="0" fontId="4" fillId="9" borderId="0" xfId="0" applyFont="1" applyFill="1" applyBorder="1"/>
    <xf numFmtId="0" fontId="4" fillId="9" borderId="0" xfId="0" applyFont="1" applyFill="1" applyBorder="1" applyAlignment="1">
      <alignment horizontal="center"/>
    </xf>
    <xf numFmtId="0" fontId="4" fillId="9" borderId="0" xfId="0" applyFont="1" applyFill="1" applyBorder="1" applyAlignment="1">
      <alignment horizontal="center" vertical="top"/>
    </xf>
    <xf numFmtId="0" fontId="4" fillId="9" borderId="20" xfId="0" applyFont="1" applyFill="1" applyBorder="1" applyAlignment="1">
      <alignment horizontal="left" vertical="top"/>
    </xf>
    <xf numFmtId="0" fontId="23" fillId="9" borderId="1" xfId="0" applyFont="1" applyFill="1" applyBorder="1" applyAlignment="1">
      <alignment horizontal="center" vertical="top"/>
    </xf>
    <xf numFmtId="0" fontId="8" fillId="9" borderId="0" xfId="0" applyFont="1" applyFill="1" applyBorder="1" applyAlignment="1">
      <alignment vertical="center"/>
    </xf>
    <xf numFmtId="0" fontId="5" fillId="9" borderId="0" xfId="0" applyFont="1" applyFill="1" applyBorder="1" applyAlignment="1">
      <alignment vertical="top"/>
    </xf>
    <xf numFmtId="0" fontId="5" fillId="9" borderId="0" xfId="0" applyFont="1" applyFill="1" applyBorder="1" applyAlignment="1">
      <alignment horizontal="right"/>
    </xf>
    <xf numFmtId="0" fontId="23" fillId="9" borderId="19" xfId="0" applyFont="1" applyFill="1" applyBorder="1" applyAlignment="1">
      <alignment horizontal="center" vertical="top"/>
    </xf>
    <xf numFmtId="0" fontId="8" fillId="9" borderId="30" xfId="0" applyFont="1" applyFill="1" applyBorder="1" applyAlignment="1">
      <alignment vertical="center"/>
    </xf>
    <xf numFmtId="0" fontId="5" fillId="9" borderId="30" xfId="0" applyFont="1" applyFill="1" applyBorder="1" applyAlignment="1">
      <alignment vertical="top"/>
    </xf>
    <xf numFmtId="0" fontId="4" fillId="9" borderId="30" xfId="0" applyFont="1" applyFill="1" applyBorder="1"/>
    <xf numFmtId="0" fontId="4" fillId="9" borderId="30" xfId="0" applyFont="1" applyFill="1" applyBorder="1" applyAlignment="1">
      <alignment horizontal="left" vertical="top"/>
    </xf>
    <xf numFmtId="0" fontId="5" fillId="9" borderId="30" xfId="0" applyFont="1" applyFill="1" applyBorder="1" applyAlignment="1">
      <alignment horizontal="right"/>
    </xf>
    <xf numFmtId="3" fontId="5" fillId="9" borderId="30" xfId="0" applyNumberFormat="1" applyFont="1" applyFill="1" applyBorder="1" applyAlignment="1" applyProtection="1">
      <alignment horizontal="center" vertical="top"/>
    </xf>
    <xf numFmtId="0" fontId="4" fillId="9" borderId="17" xfId="0" applyFont="1" applyFill="1" applyBorder="1" applyAlignment="1">
      <alignment horizontal="left" vertical="top"/>
    </xf>
    <xf numFmtId="0" fontId="8" fillId="9" borderId="16" xfId="0" applyFont="1" applyFill="1" applyBorder="1" applyAlignment="1">
      <alignment horizontal="center" vertical="center"/>
    </xf>
    <xf numFmtId="0" fontId="5" fillId="9" borderId="29" xfId="0" applyFont="1" applyFill="1" applyBorder="1"/>
    <xf numFmtId="0" fontId="8" fillId="9" borderId="1" xfId="0" applyFont="1" applyFill="1" applyBorder="1" applyAlignment="1">
      <alignment horizontal="center" vertical="center"/>
    </xf>
    <xf numFmtId="0" fontId="4" fillId="9" borderId="20" xfId="0" applyFont="1" applyFill="1" applyBorder="1"/>
    <xf numFmtId="0" fontId="23" fillId="9" borderId="1" xfId="0" applyFont="1" applyFill="1" applyBorder="1" applyAlignment="1">
      <alignment horizontal="center" vertical="center"/>
    </xf>
    <xf numFmtId="0" fontId="8" fillId="9" borderId="0" xfId="0" applyFont="1" applyFill="1" applyBorder="1" applyAlignment="1"/>
    <xf numFmtId="0" fontId="23" fillId="9" borderId="19" xfId="0" applyFont="1" applyFill="1" applyBorder="1" applyAlignment="1">
      <alignment horizontal="center" vertical="center"/>
    </xf>
    <xf numFmtId="0" fontId="8" fillId="9" borderId="30" xfId="0" applyFont="1" applyFill="1" applyBorder="1" applyAlignment="1"/>
    <xf numFmtId="0" fontId="5" fillId="9" borderId="30" xfId="0" applyFont="1" applyFill="1" applyBorder="1"/>
    <xf numFmtId="0" fontId="47" fillId="9" borderId="16" xfId="0" applyFont="1" applyFill="1" applyBorder="1" applyAlignment="1">
      <alignment horizontal="center" vertical="center"/>
    </xf>
    <xf numFmtId="0" fontId="45" fillId="9" borderId="29" xfId="0" applyFont="1" applyFill="1" applyBorder="1" applyAlignment="1">
      <alignment vertical="center"/>
    </xf>
    <xf numFmtId="0" fontId="46" fillId="9" borderId="29" xfId="0" applyFont="1" applyFill="1" applyBorder="1" applyAlignment="1">
      <alignment vertical="top"/>
    </xf>
    <xf numFmtId="0" fontId="40" fillId="9" borderId="29" xfId="0" applyFont="1" applyFill="1" applyBorder="1" applyAlignment="1">
      <alignment horizontal="left" vertical="top"/>
    </xf>
    <xf numFmtId="0" fontId="40" fillId="9" borderId="29" xfId="0" applyFont="1" applyFill="1" applyBorder="1"/>
    <xf numFmtId="0" fontId="40" fillId="9" borderId="29" xfId="0" applyFont="1" applyFill="1" applyBorder="1" applyAlignment="1">
      <alignment horizontal="center"/>
    </xf>
    <xf numFmtId="0" fontId="40" fillId="9" borderId="29" xfId="0" applyFont="1" applyFill="1" applyBorder="1" applyAlignment="1">
      <alignment horizontal="center" vertical="top"/>
    </xf>
    <xf numFmtId="0" fontId="40" fillId="9" borderId="14" xfId="0" applyFont="1" applyFill="1" applyBorder="1" applyAlignment="1">
      <alignment horizontal="left" vertical="top"/>
    </xf>
    <xf numFmtId="0" fontId="45" fillId="9" borderId="1" xfId="0" applyFont="1" applyFill="1" applyBorder="1" applyAlignment="1">
      <alignment horizontal="center" vertical="center"/>
    </xf>
    <xf numFmtId="0" fontId="45" fillId="9" borderId="0" xfId="0" applyFont="1" applyFill="1" applyBorder="1" applyAlignment="1">
      <alignment vertical="center"/>
    </xf>
    <xf numFmtId="0" fontId="46" fillId="9" borderId="0" xfId="0" applyFont="1" applyFill="1" applyBorder="1" applyAlignment="1">
      <alignment vertical="top"/>
    </xf>
    <xf numFmtId="0" fontId="40" fillId="9" borderId="0" xfId="0" applyFont="1" applyFill="1" applyBorder="1"/>
    <xf numFmtId="0" fontId="40" fillId="9" borderId="0" xfId="0" applyFont="1" applyFill="1" applyBorder="1" applyAlignment="1">
      <alignment horizontal="left" vertical="top"/>
    </xf>
    <xf numFmtId="0" fontId="46" fillId="9" borderId="0" xfId="0" applyFont="1" applyFill="1" applyBorder="1" applyAlignment="1">
      <alignment horizontal="right"/>
    </xf>
    <xf numFmtId="0" fontId="40" fillId="9" borderId="20" xfId="0" applyFont="1" applyFill="1" applyBorder="1" applyAlignment="1">
      <alignment horizontal="left" vertical="top"/>
    </xf>
    <xf numFmtId="0" fontId="45" fillId="9" borderId="19" xfId="0" applyFont="1" applyFill="1" applyBorder="1" applyAlignment="1">
      <alignment horizontal="center" vertical="center"/>
    </xf>
    <xf numFmtId="0" fontId="45" fillId="9" borderId="30" xfId="0" applyFont="1" applyFill="1" applyBorder="1" applyAlignment="1">
      <alignment vertical="center"/>
    </xf>
    <xf numFmtId="0" fontId="46" fillId="9" borderId="30" xfId="0" applyFont="1" applyFill="1" applyBorder="1" applyAlignment="1">
      <alignment vertical="top"/>
    </xf>
    <xf numFmtId="0" fontId="40" fillId="9" borderId="30" xfId="0" applyFont="1" applyFill="1" applyBorder="1"/>
    <xf numFmtId="0" fontId="40" fillId="9" borderId="30" xfId="0" applyFont="1" applyFill="1" applyBorder="1" applyAlignment="1">
      <alignment horizontal="left" vertical="top"/>
    </xf>
    <xf numFmtId="0" fontId="46" fillId="9" borderId="30" xfId="0" applyFont="1" applyFill="1" applyBorder="1" applyAlignment="1">
      <alignment horizontal="right"/>
    </xf>
    <xf numFmtId="3" fontId="46" fillId="9" borderId="30" xfId="0" applyNumberFormat="1" applyFont="1" applyFill="1" applyBorder="1" applyAlignment="1">
      <alignment horizontal="center" vertical="top"/>
    </xf>
    <xf numFmtId="0" fontId="40" fillId="9" borderId="17" xfId="0" applyFont="1" applyFill="1" applyBorder="1" applyAlignment="1">
      <alignment horizontal="left" vertical="top"/>
    </xf>
    <xf numFmtId="0" fontId="45" fillId="9" borderId="16" xfId="0" applyFont="1" applyFill="1" applyBorder="1" applyAlignment="1">
      <alignment horizontal="center" vertical="center"/>
    </xf>
    <xf numFmtId="3" fontId="40" fillId="9" borderId="29" xfId="0" applyNumberFormat="1" applyFont="1" applyFill="1" applyBorder="1" applyAlignment="1">
      <alignment horizontal="center" vertical="top"/>
    </xf>
    <xf numFmtId="0" fontId="45" fillId="9" borderId="0" xfId="0" applyFont="1" applyFill="1" applyBorder="1" applyAlignment="1">
      <alignment horizontal="left" vertical="center"/>
    </xf>
    <xf numFmtId="0" fontId="46" fillId="9" borderId="0" xfId="0" applyFont="1" applyFill="1" applyBorder="1" applyAlignment="1">
      <alignment horizontal="right" vertical="center"/>
    </xf>
    <xf numFmtId="0" fontId="45" fillId="9" borderId="30" xfId="0" applyFont="1" applyFill="1" applyBorder="1" applyAlignment="1">
      <alignment horizontal="left" vertical="center"/>
    </xf>
    <xf numFmtId="0" fontId="46" fillId="9" borderId="30" xfId="0" applyFont="1" applyFill="1" applyBorder="1" applyAlignment="1">
      <alignment horizontal="right" vertical="center"/>
    </xf>
    <xf numFmtId="0" fontId="45" fillId="9" borderId="27" xfId="0" applyFont="1" applyFill="1" applyBorder="1" applyAlignment="1">
      <alignment horizontal="center" vertical="center"/>
    </xf>
    <xf numFmtId="0" fontId="45" fillId="9" borderId="33" xfId="0" applyFont="1" applyFill="1" applyBorder="1" applyAlignment="1">
      <alignment vertical="center"/>
    </xf>
    <xf numFmtId="0" fontId="46" fillId="9" borderId="33" xfId="0" applyFont="1" applyFill="1" applyBorder="1" applyAlignment="1">
      <alignment vertical="top"/>
    </xf>
    <xf numFmtId="0" fontId="40" fillId="9" borderId="33" xfId="0" applyFont="1" applyFill="1" applyBorder="1" applyAlignment="1">
      <alignment horizontal="left" vertical="top"/>
    </xf>
    <xf numFmtId="0" fontId="40" fillId="9" borderId="33" xfId="0" applyFont="1" applyFill="1" applyBorder="1"/>
    <xf numFmtId="0" fontId="40" fillId="9" borderId="33" xfId="0" applyFont="1" applyFill="1" applyBorder="1" applyAlignment="1">
      <alignment horizontal="center"/>
    </xf>
    <xf numFmtId="3" fontId="40" fillId="9" borderId="33" xfId="0" applyNumberFormat="1" applyFont="1" applyFill="1" applyBorder="1" applyAlignment="1">
      <alignment horizontal="center" vertical="top"/>
    </xf>
    <xf numFmtId="0" fontId="40" fillId="9" borderId="51" xfId="0" applyFont="1" applyFill="1" applyBorder="1" applyAlignment="1">
      <alignment horizontal="left" vertical="top"/>
    </xf>
    <xf numFmtId="0" fontId="45" fillId="9" borderId="25" xfId="0" applyFont="1" applyFill="1" applyBorder="1" applyAlignment="1">
      <alignment horizontal="center" vertical="center"/>
    </xf>
    <xf numFmtId="0" fontId="40" fillId="9" borderId="0" xfId="0" applyFont="1" applyFill="1" applyBorder="1" applyAlignment="1">
      <alignment horizontal="center"/>
    </xf>
    <xf numFmtId="3" fontId="40" fillId="9" borderId="0" xfId="0" applyNumberFormat="1" applyFont="1" applyFill="1" applyBorder="1" applyAlignment="1">
      <alignment horizontal="center" vertical="top"/>
    </xf>
    <xf numFmtId="0" fontId="40" fillId="9" borderId="47" xfId="0" applyFont="1" applyFill="1" applyBorder="1" applyAlignment="1">
      <alignment horizontal="left" vertical="top"/>
    </xf>
    <xf numFmtId="0" fontId="40" fillId="9" borderId="25" xfId="0" applyFont="1" applyFill="1" applyBorder="1"/>
    <xf numFmtId="0" fontId="46" fillId="9" borderId="0" xfId="0" applyFont="1" applyFill="1" applyBorder="1" applyAlignment="1">
      <alignment horizontal="right" vertical="top"/>
    </xf>
    <xf numFmtId="0" fontId="40" fillId="9" borderId="48" xfId="0" applyFont="1" applyFill="1" applyBorder="1"/>
    <xf numFmtId="0" fontId="40" fillId="9" borderId="37" xfId="0" applyFont="1" applyFill="1" applyBorder="1"/>
    <xf numFmtId="0" fontId="46" fillId="9" borderId="37" xfId="0" applyFont="1" applyFill="1" applyBorder="1" applyAlignment="1">
      <alignment vertical="top"/>
    </xf>
    <xf numFmtId="0" fontId="40" fillId="9" borderId="37" xfId="0" applyFont="1" applyFill="1" applyBorder="1" applyAlignment="1">
      <alignment horizontal="left" vertical="top"/>
    </xf>
    <xf numFmtId="0" fontId="46" fillId="9" borderId="37" xfId="0" applyFont="1" applyFill="1" applyBorder="1" applyAlignment="1">
      <alignment horizontal="right" vertical="top"/>
    </xf>
    <xf numFmtId="3" fontId="46" fillId="9" borderId="37" xfId="0" applyNumberFormat="1" applyFont="1" applyFill="1" applyBorder="1" applyAlignment="1">
      <alignment horizontal="center" vertical="top"/>
    </xf>
    <xf numFmtId="0" fontId="40" fillId="9" borderId="49" xfId="0" applyFont="1" applyFill="1" applyBorder="1" applyAlignment="1">
      <alignment horizontal="left" vertical="top"/>
    </xf>
    <xf numFmtId="0" fontId="5" fillId="9" borderId="0" xfId="0" applyFont="1" applyFill="1" applyBorder="1" applyAlignment="1">
      <alignment horizontal="right" vertical="center"/>
    </xf>
    <xf numFmtId="0" fontId="5" fillId="9" borderId="30" xfId="0" applyFont="1" applyFill="1" applyBorder="1" applyAlignment="1">
      <alignment horizontal="right" vertical="center"/>
    </xf>
    <xf numFmtId="0" fontId="5" fillId="9" borderId="29" xfId="0" applyFont="1" applyFill="1" applyBorder="1" applyAlignment="1">
      <alignment horizontal="left" vertical="top"/>
    </xf>
    <xf numFmtId="0" fontId="4" fillId="9" borderId="29" xfId="0" applyFont="1" applyFill="1" applyBorder="1" applyAlignment="1">
      <alignment horizontal="right"/>
    </xf>
    <xf numFmtId="0" fontId="5" fillId="0" borderId="37" xfId="0" applyFont="1" applyBorder="1" applyAlignment="1">
      <alignment horizontal="left" vertical="top"/>
    </xf>
    <xf numFmtId="0" fontId="4" fillId="0" borderId="37" xfId="0" applyFont="1" applyBorder="1" applyAlignment="1">
      <alignment horizontal="right"/>
    </xf>
    <xf numFmtId="0" fontId="4" fillId="0" borderId="37" xfId="0" applyFont="1" applyBorder="1" applyAlignment="1">
      <alignment horizontal="center" vertical="top"/>
    </xf>
    <xf numFmtId="0" fontId="5" fillId="0" borderId="0" xfId="0" applyFont="1" applyBorder="1" applyAlignment="1">
      <alignment horizontal="center" vertical="top"/>
    </xf>
    <xf numFmtId="0" fontId="8" fillId="0" borderId="0" xfId="0" applyFont="1" applyBorder="1" applyAlignment="1">
      <alignment vertical="center"/>
    </xf>
    <xf numFmtId="0" fontId="5" fillId="0" borderId="0" xfId="0" applyFont="1" applyBorder="1" applyAlignment="1">
      <alignment vertical="top"/>
    </xf>
    <xf numFmtId="0" fontId="4" fillId="0" borderId="0" xfId="0" applyFont="1" applyBorder="1" applyAlignment="1">
      <alignment horizontal="right"/>
    </xf>
    <xf numFmtId="0" fontId="4" fillId="0" borderId="0" xfId="0" applyFont="1" applyBorder="1" applyAlignment="1">
      <alignment horizontal="center" vertical="top"/>
    </xf>
    <xf numFmtId="0" fontId="40" fillId="9" borderId="0" xfId="0" applyFont="1" applyFill="1" applyBorder="1" applyAlignment="1">
      <alignment horizontal="center" vertical="top"/>
    </xf>
    <xf numFmtId="0" fontId="5" fillId="9" borderId="16" xfId="0" applyFont="1" applyFill="1" applyBorder="1" applyAlignment="1">
      <alignment horizontal="center" vertical="top"/>
    </xf>
    <xf numFmtId="0" fontId="8" fillId="9" borderId="19" xfId="0" applyFont="1" applyFill="1" applyBorder="1" applyAlignment="1">
      <alignment horizontal="center" vertical="center"/>
    </xf>
    <xf numFmtId="0" fontId="4" fillId="9" borderId="17" xfId="0" applyFont="1" applyFill="1" applyBorder="1"/>
    <xf numFmtId="0" fontId="1" fillId="0" borderId="31" xfId="0" applyFont="1" applyBorder="1" applyAlignment="1">
      <alignment vertical="center"/>
    </xf>
    <xf numFmtId="0" fontId="1" fillId="0" borderId="32" xfId="0" applyFont="1" applyBorder="1" applyAlignment="1">
      <alignment vertical="center"/>
    </xf>
    <xf numFmtId="0" fontId="1" fillId="0" borderId="0" xfId="0" applyFont="1" applyBorder="1" applyAlignment="1">
      <alignment vertical="center" wrapText="1"/>
    </xf>
    <xf numFmtId="0" fontId="20" fillId="0" borderId="1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17" xfId="0" applyFont="1" applyBorder="1" applyAlignment="1">
      <alignment horizontal="center" vertical="center" wrapText="1"/>
    </xf>
    <xf numFmtId="0" fontId="3" fillId="0" borderId="19" xfId="0" applyFont="1" applyBorder="1" applyAlignment="1">
      <alignment horizontal="center"/>
    </xf>
    <xf numFmtId="0" fontId="3" fillId="0" borderId="17" xfId="0" applyFont="1" applyBorder="1" applyAlignment="1">
      <alignment horizontal="center"/>
    </xf>
    <xf numFmtId="0" fontId="1" fillId="0" borderId="0" xfId="0" applyFont="1" applyBorder="1" applyAlignment="1">
      <alignment vertical="center"/>
    </xf>
    <xf numFmtId="0" fontId="1" fillId="0" borderId="20" xfId="0" applyFont="1" applyBorder="1" applyAlignment="1">
      <alignment vertical="center"/>
    </xf>
    <xf numFmtId="0" fontId="20" fillId="0" borderId="0" xfId="0" applyFont="1" applyBorder="1" applyAlignment="1">
      <alignment horizontal="center" vertical="center" wrapText="1"/>
    </xf>
    <xf numFmtId="0" fontId="1" fillId="0" borderId="1" xfId="0" applyFont="1" applyBorder="1"/>
    <xf numFmtId="0" fontId="20" fillId="0" borderId="16" xfId="0" applyFont="1" applyBorder="1" applyAlignment="1">
      <alignment horizontal="center" vertical="center" wrapText="1"/>
    </xf>
    <xf numFmtId="0" fontId="20" fillId="0" borderId="14" xfId="0" applyFont="1" applyBorder="1" applyAlignment="1">
      <alignment horizontal="center" vertical="center" wrapText="1"/>
    </xf>
    <xf numFmtId="0" fontId="1" fillId="0" borderId="1" xfId="0" applyFont="1" applyBorder="1" applyAlignment="1">
      <alignment vertical="center"/>
    </xf>
    <xf numFmtId="0" fontId="1" fillId="0" borderId="34" xfId="0" applyFont="1" applyBorder="1" applyAlignment="1">
      <alignment vertical="center"/>
    </xf>
    <xf numFmtId="0" fontId="1" fillId="0" borderId="20" xfId="0" applyFont="1" applyBorder="1"/>
    <xf numFmtId="0" fontId="1" fillId="0" borderId="17" xfId="0" applyFont="1" applyBorder="1"/>
    <xf numFmtId="0" fontId="1" fillId="0" borderId="0" xfId="0" applyFont="1" applyBorder="1"/>
    <xf numFmtId="0" fontId="3" fillId="0" borderId="0" xfId="0" applyFont="1" applyFill="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19" xfId="0" applyFont="1" applyBorder="1"/>
    <xf numFmtId="0" fontId="1" fillId="0" borderId="29" xfId="0" applyFont="1" applyBorder="1" applyAlignment="1">
      <alignment horizontal="center" vertical="center"/>
    </xf>
    <xf numFmtId="0" fontId="17" fillId="0" borderId="0" xfId="0" applyFont="1" applyAlignment="1">
      <alignment horizontal="right" vertical="center"/>
    </xf>
    <xf numFmtId="0" fontId="41" fillId="0" borderId="1" xfId="0" applyFont="1" applyBorder="1" applyAlignment="1" applyProtection="1">
      <alignment horizontal="center"/>
      <protection hidden="1"/>
    </xf>
    <xf numFmtId="0" fontId="13" fillId="0" borderId="0" xfId="0" applyFont="1" applyAlignment="1" applyProtection="1">
      <alignment horizontal="center"/>
      <protection hidden="1"/>
    </xf>
    <xf numFmtId="0" fontId="29" fillId="0" borderId="0" xfId="0" applyFont="1" applyProtection="1">
      <protection hidden="1"/>
    </xf>
    <xf numFmtId="0" fontId="4" fillId="0" borderId="0" xfId="0" applyFont="1" applyFill="1" applyAlignment="1" applyProtection="1">
      <alignment horizontal="center"/>
      <protection hidden="1"/>
    </xf>
    <xf numFmtId="0" fontId="4" fillId="0" borderId="0" xfId="0" applyFont="1" applyFill="1" applyAlignment="1" applyProtection="1">
      <alignment horizontal="left"/>
      <protection hidden="1"/>
    </xf>
    <xf numFmtId="0" fontId="4" fillId="0" borderId="0" xfId="0" applyFont="1" applyFill="1" applyProtection="1">
      <protection hidden="1"/>
    </xf>
    <xf numFmtId="0" fontId="4" fillId="0" borderId="0" xfId="0" applyFont="1" applyAlignment="1" applyProtection="1">
      <alignment horizontal="center"/>
      <protection hidden="1"/>
    </xf>
    <xf numFmtId="0" fontId="10" fillId="0" borderId="0" xfId="0" applyFont="1" applyAlignment="1" applyProtection="1">
      <alignment horizontal="center"/>
      <protection hidden="1"/>
    </xf>
    <xf numFmtId="0" fontId="4" fillId="0" borderId="0" xfId="0" applyFont="1" applyProtection="1">
      <protection hidden="1"/>
    </xf>
    <xf numFmtId="0" fontId="23" fillId="0" borderId="0" xfId="0" applyFont="1" applyAlignment="1" applyProtection="1">
      <alignment horizontal="left"/>
      <protection hidden="1"/>
    </xf>
    <xf numFmtId="0" fontId="4" fillId="0" borderId="0" xfId="0" applyFont="1" applyAlignment="1" applyProtection="1">
      <alignment horizontal="left"/>
      <protection hidden="1"/>
    </xf>
    <xf numFmtId="0" fontId="15" fillId="0" borderId="0" xfId="0" applyFont="1" applyProtection="1">
      <protection hidden="1"/>
    </xf>
    <xf numFmtId="0" fontId="8" fillId="2" borderId="0" xfId="0" applyFont="1" applyFill="1" applyBorder="1" applyAlignment="1" applyProtection="1">
      <alignment horizontal="center"/>
      <protection hidden="1"/>
    </xf>
    <xf numFmtId="0" fontId="11" fillId="2" borderId="0" xfId="0" applyFont="1" applyFill="1" applyBorder="1" applyAlignment="1" applyProtection="1">
      <alignment horizontal="center"/>
      <protection hidden="1"/>
    </xf>
    <xf numFmtId="0" fontId="11" fillId="2" borderId="1" xfId="0" applyFont="1" applyFill="1" applyBorder="1" applyAlignment="1" applyProtection="1">
      <alignment horizontal="center"/>
      <protection hidden="1"/>
    </xf>
    <xf numFmtId="0" fontId="14" fillId="0" borderId="0" xfId="0" applyFont="1" applyAlignment="1" applyProtection="1">
      <alignment horizontal="center"/>
      <protection hidden="1"/>
    </xf>
    <xf numFmtId="0" fontId="8" fillId="0" borderId="4" xfId="0" applyFont="1" applyFill="1" applyBorder="1" applyAlignment="1" applyProtection="1">
      <alignment horizontal="center" vertical="center" wrapText="1"/>
      <protection hidden="1"/>
    </xf>
    <xf numFmtId="0" fontId="8" fillId="0" borderId="6" xfId="0" applyFont="1" applyFill="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protection hidden="1"/>
    </xf>
    <xf numFmtId="0" fontId="48" fillId="0" borderId="1" xfId="0" applyFont="1" applyBorder="1" applyAlignment="1" applyProtection="1">
      <alignment horizontal="center"/>
      <protection hidden="1"/>
    </xf>
    <xf numFmtId="0" fontId="48" fillId="0" borderId="0" xfId="0" applyFont="1" applyBorder="1" applyAlignment="1" applyProtection="1">
      <alignment horizontal="center"/>
      <protection hidden="1"/>
    </xf>
    <xf numFmtId="0" fontId="48" fillId="0" borderId="2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20" xfId="0" applyFont="1" applyBorder="1" applyAlignment="1" applyProtection="1">
      <alignment horizontal="center"/>
      <protection hidden="1"/>
    </xf>
    <xf numFmtId="0" fontId="5" fillId="0" borderId="0" xfId="0" applyFont="1" applyAlignment="1" applyProtection="1">
      <alignment horizontal="center"/>
      <protection hidden="1"/>
    </xf>
    <xf numFmtId="0" fontId="13" fillId="0" borderId="0" xfId="0" applyFont="1" applyAlignment="1" applyProtection="1">
      <alignment horizontal="center" wrapText="1"/>
      <protection hidden="1"/>
    </xf>
    <xf numFmtId="0" fontId="23" fillId="0" borderId="5" xfId="0" applyFont="1" applyFill="1" applyBorder="1" applyAlignment="1" applyProtection="1">
      <alignment horizontal="center" vertical="center" wrapText="1"/>
      <protection hidden="1"/>
    </xf>
    <xf numFmtId="0" fontId="23" fillId="0" borderId="38" xfId="0" applyFont="1" applyFill="1" applyBorder="1" applyAlignment="1" applyProtection="1">
      <alignment horizontal="center" vertical="center" wrapText="1"/>
      <protection hidden="1"/>
    </xf>
    <xf numFmtId="0" fontId="8" fillId="0" borderId="39" xfId="0" applyFont="1" applyFill="1" applyBorder="1" applyAlignment="1" applyProtection="1">
      <alignment horizontal="center" wrapText="1"/>
      <protection hidden="1"/>
    </xf>
    <xf numFmtId="0" fontId="23" fillId="0" borderId="5" xfId="0" applyFont="1" applyFill="1" applyBorder="1" applyAlignment="1" applyProtection="1">
      <alignment horizontal="center" wrapText="1"/>
      <protection hidden="1"/>
    </xf>
    <xf numFmtId="0" fontId="23" fillId="0" borderId="38" xfId="0" applyFont="1" applyFill="1" applyBorder="1" applyAlignment="1" applyProtection="1">
      <alignment horizontal="center" wrapText="1"/>
      <protection hidden="1"/>
    </xf>
    <xf numFmtId="0" fontId="23" fillId="0" borderId="39" xfId="0" applyFont="1" applyFill="1" applyBorder="1" applyAlignment="1" applyProtection="1">
      <alignment horizontal="center" wrapText="1"/>
      <protection hidden="1"/>
    </xf>
    <xf numFmtId="0" fontId="6" fillId="0" borderId="0" xfId="0" applyFont="1" applyBorder="1" applyAlignment="1" applyProtection="1">
      <alignment horizontal="center" wrapText="1"/>
      <protection hidden="1"/>
    </xf>
    <xf numFmtId="0" fontId="11" fillId="0" borderId="0" xfId="0" applyFont="1" applyBorder="1" applyAlignment="1" applyProtection="1">
      <alignment horizontal="center" vertical="top" wrapText="1"/>
      <protection hidden="1"/>
    </xf>
    <xf numFmtId="0" fontId="12" fillId="0" borderId="1" xfId="0" applyFont="1" applyBorder="1" applyAlignment="1" applyProtection="1">
      <alignment horizontal="center" vertical="top" wrapText="1"/>
      <protection hidden="1"/>
    </xf>
    <xf numFmtId="0" fontId="12" fillId="0" borderId="0" xfId="0" applyFont="1" applyBorder="1" applyAlignment="1" applyProtection="1">
      <alignment horizontal="center" vertical="top" wrapText="1"/>
      <protection hidden="1"/>
    </xf>
    <xf numFmtId="0" fontId="11" fillId="0" borderId="19" xfId="0" applyFont="1" applyBorder="1" applyAlignment="1" applyProtection="1">
      <alignment horizontal="center" vertical="top" wrapText="1"/>
      <protection hidden="1"/>
    </xf>
    <xf numFmtId="0" fontId="42" fillId="0" borderId="30" xfId="0" applyFont="1" applyBorder="1" applyAlignment="1" applyProtection="1">
      <alignment horizontal="center" wrapText="1"/>
      <protection hidden="1"/>
    </xf>
    <xf numFmtId="0" fontId="42" fillId="0" borderId="17" xfId="0" applyFont="1" applyBorder="1" applyAlignment="1" applyProtection="1">
      <alignment horizontal="center" wrapText="1"/>
      <protection hidden="1"/>
    </xf>
    <xf numFmtId="0" fontId="42" fillId="0" borderId="20" xfId="0" applyFont="1" applyBorder="1" applyAlignment="1" applyProtection="1">
      <alignment horizontal="center" wrapText="1"/>
      <protection hidden="1"/>
    </xf>
    <xf numFmtId="0" fontId="6" fillId="0" borderId="0" xfId="0" applyFont="1" applyAlignment="1" applyProtection="1">
      <alignment horizontal="center" wrapText="1"/>
      <protection hidden="1"/>
    </xf>
    <xf numFmtId="0" fontId="8" fillId="3" borderId="24" xfId="0" applyFont="1" applyFill="1" applyBorder="1" applyAlignment="1" applyProtection="1">
      <alignment horizontal="left"/>
      <protection hidden="1"/>
    </xf>
    <xf numFmtId="0" fontId="8" fillId="3" borderId="30" xfId="0" applyFont="1" applyFill="1" applyBorder="1" applyAlignment="1" applyProtection="1">
      <alignment horizontal="left"/>
      <protection hidden="1"/>
    </xf>
    <xf numFmtId="0" fontId="8" fillId="3" borderId="40" xfId="0" applyFont="1" applyFill="1" applyBorder="1" applyAlignment="1" applyProtection="1">
      <alignment horizontal="left"/>
      <protection hidden="1"/>
    </xf>
    <xf numFmtId="0" fontId="23" fillId="3" borderId="41" xfId="0" applyFont="1" applyFill="1" applyBorder="1" applyAlignment="1" applyProtection="1">
      <alignment horizontal="center"/>
      <protection hidden="1"/>
    </xf>
    <xf numFmtId="0" fontId="23" fillId="3" borderId="18" xfId="0" applyFont="1" applyFill="1" applyBorder="1" applyAlignment="1" applyProtection="1">
      <alignment horizontal="center"/>
      <protection hidden="1"/>
    </xf>
    <xf numFmtId="0" fontId="23" fillId="3" borderId="36" xfId="0" applyFont="1" applyFill="1" applyBorder="1" applyAlignment="1" applyProtection="1">
      <alignment horizontal="center"/>
      <protection hidden="1"/>
    </xf>
    <xf numFmtId="0" fontId="4" fillId="3" borderId="0" xfId="0" applyFont="1" applyFill="1" applyBorder="1" applyAlignment="1" applyProtection="1">
      <alignment horizontal="center"/>
      <protection hidden="1"/>
    </xf>
    <xf numFmtId="0" fontId="10" fillId="3" borderId="0" xfId="0" applyFont="1" applyFill="1" applyBorder="1" applyAlignment="1" applyProtection="1">
      <alignment horizontal="center"/>
      <protection hidden="1"/>
    </xf>
    <xf numFmtId="0" fontId="10" fillId="0" borderId="1"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4" fillId="0" borderId="0" xfId="0" applyFont="1" applyBorder="1" applyProtection="1">
      <protection hidden="1"/>
    </xf>
    <xf numFmtId="0" fontId="4" fillId="0" borderId="20" xfId="0" applyFont="1" applyBorder="1" applyProtection="1">
      <protection hidden="1"/>
    </xf>
    <xf numFmtId="0" fontId="4" fillId="0" borderId="1" xfId="0" applyFont="1" applyBorder="1" applyProtection="1">
      <protection hidden="1"/>
    </xf>
    <xf numFmtId="0" fontId="43" fillId="0" borderId="0" xfId="0" applyFont="1" applyBorder="1" applyProtection="1">
      <protection hidden="1"/>
    </xf>
    <xf numFmtId="0" fontId="43" fillId="0" borderId="21" xfId="0" applyFont="1" applyBorder="1" applyProtection="1">
      <protection hidden="1"/>
    </xf>
    <xf numFmtId="0" fontId="23" fillId="0" borderId="4" xfId="0" applyFont="1" applyBorder="1" applyAlignment="1" applyProtection="1">
      <protection hidden="1"/>
    </xf>
    <xf numFmtId="0" fontId="23" fillId="0" borderId="34" xfId="0" applyFont="1" applyBorder="1" applyAlignment="1" applyProtection="1">
      <alignment horizontal="center"/>
      <protection hidden="1"/>
    </xf>
    <xf numFmtId="3" fontId="8" fillId="0" borderId="7" xfId="0" applyNumberFormat="1" applyFont="1" applyBorder="1" applyAlignment="1" applyProtection="1">
      <alignment horizontal="center"/>
      <protection hidden="1"/>
    </xf>
    <xf numFmtId="1" fontId="23" fillId="0" borderId="4" xfId="0" applyNumberFormat="1" applyFont="1" applyBorder="1" applyAlignment="1" applyProtection="1">
      <alignment horizontal="center"/>
      <protection hidden="1"/>
    </xf>
    <xf numFmtId="1" fontId="23" fillId="0" borderId="6" xfId="0" applyNumberFormat="1" applyFont="1" applyBorder="1" applyAlignment="1" applyProtection="1">
      <alignment horizontal="center"/>
      <protection hidden="1"/>
    </xf>
    <xf numFmtId="1" fontId="23" fillId="0" borderId="7" xfId="0" applyNumberFormat="1" applyFont="1" applyBorder="1" applyAlignment="1" applyProtection="1">
      <alignment horizontal="center"/>
      <protection hidden="1"/>
    </xf>
    <xf numFmtId="2" fontId="4" fillId="0" borderId="0" xfId="0" applyNumberFormat="1" applyFont="1" applyBorder="1" applyAlignment="1" applyProtection="1">
      <alignment horizontal="center"/>
      <protection hidden="1"/>
    </xf>
    <xf numFmtId="2" fontId="10" fillId="0" borderId="0" xfId="0" applyNumberFormat="1" applyFont="1" applyBorder="1" applyAlignment="1" applyProtection="1">
      <alignment horizontal="center"/>
      <protection hidden="1"/>
    </xf>
    <xf numFmtId="0" fontId="41" fillId="0" borderId="0" xfId="0" applyFont="1" applyBorder="1" applyAlignment="1" applyProtection="1">
      <alignment horizontal="center"/>
      <protection hidden="1"/>
    </xf>
    <xf numFmtId="0" fontId="39" fillId="0" borderId="20" xfId="0" applyFont="1" applyBorder="1" applyAlignment="1" applyProtection="1">
      <alignment horizontal="center"/>
      <protection hidden="1"/>
    </xf>
    <xf numFmtId="2" fontId="10" fillId="0" borderId="1" xfId="0" applyNumberFormat="1" applyFont="1" applyBorder="1" applyAlignment="1" applyProtection="1">
      <alignment horizontal="center"/>
      <protection hidden="1"/>
    </xf>
    <xf numFmtId="0" fontId="43" fillId="0" borderId="21" xfId="0" applyFont="1" applyBorder="1" applyAlignment="1" applyProtection="1">
      <alignment horizontal="center"/>
      <protection hidden="1"/>
    </xf>
    <xf numFmtId="0" fontId="8" fillId="0" borderId="4" xfId="0" applyFont="1" applyBorder="1" applyAlignment="1" applyProtection="1">
      <alignment horizontal="right"/>
      <protection hidden="1"/>
    </xf>
    <xf numFmtId="0" fontId="23" fillId="0" borderId="34" xfId="0" applyFont="1" applyBorder="1" applyAlignment="1" applyProtection="1">
      <alignment horizontal="left"/>
      <protection hidden="1"/>
    </xf>
    <xf numFmtId="3" fontId="23" fillId="0" borderId="4" xfId="0" applyNumberFormat="1" applyFont="1" applyBorder="1" applyAlignment="1" applyProtection="1">
      <alignment horizontal="center"/>
      <protection hidden="1"/>
    </xf>
    <xf numFmtId="3" fontId="23" fillId="0" borderId="6" xfId="0" applyNumberFormat="1" applyFont="1" applyBorder="1" applyAlignment="1" applyProtection="1">
      <alignment horizontal="center"/>
      <protection hidden="1"/>
    </xf>
    <xf numFmtId="1" fontId="8" fillId="0" borderId="4" xfId="0" applyNumberFormat="1" applyFont="1" applyBorder="1" applyAlignment="1" applyProtection="1">
      <alignment horizontal="center"/>
      <protection hidden="1"/>
    </xf>
    <xf numFmtId="1" fontId="8" fillId="0" borderId="6" xfId="0" applyNumberFormat="1" applyFont="1" applyBorder="1" applyAlignment="1" applyProtection="1">
      <alignment horizontal="center"/>
      <protection hidden="1"/>
    </xf>
    <xf numFmtId="1" fontId="8" fillId="0" borderId="7" xfId="0" applyNumberFormat="1" applyFont="1" applyBorder="1" applyAlignment="1" applyProtection="1">
      <alignment horizontal="center"/>
      <protection hidden="1"/>
    </xf>
    <xf numFmtId="2" fontId="23" fillId="0" borderId="4" xfId="0" applyNumberFormat="1" applyFont="1" applyBorder="1" applyAlignment="1" applyProtection="1">
      <alignment horizontal="center"/>
      <protection hidden="1"/>
    </xf>
    <xf numFmtId="2" fontId="23" fillId="0" borderId="6" xfId="0" applyNumberFormat="1" applyFont="1" applyBorder="1" applyAlignment="1" applyProtection="1">
      <alignment horizontal="center"/>
      <protection hidden="1"/>
    </xf>
    <xf numFmtId="2" fontId="8" fillId="0" borderId="7" xfId="0" applyNumberFormat="1" applyFont="1" applyBorder="1" applyAlignment="1" applyProtection="1">
      <alignment horizontal="center"/>
      <protection hidden="1"/>
    </xf>
    <xf numFmtId="164" fontId="23" fillId="0" borderId="4" xfId="0" applyNumberFormat="1" applyFont="1" applyBorder="1" applyAlignment="1" applyProtection="1">
      <alignment horizontal="center"/>
      <protection hidden="1"/>
    </xf>
    <xf numFmtId="164" fontId="23" fillId="0" borderId="6" xfId="0" applyNumberFormat="1" applyFont="1" applyBorder="1" applyAlignment="1" applyProtection="1">
      <alignment horizontal="center"/>
      <protection hidden="1"/>
    </xf>
    <xf numFmtId="164" fontId="23" fillId="0" borderId="7" xfId="0" applyNumberFormat="1" applyFont="1" applyBorder="1" applyAlignment="1" applyProtection="1">
      <alignment horizontal="center"/>
      <protection hidden="1"/>
    </xf>
    <xf numFmtId="0" fontId="4" fillId="0" borderId="0" xfId="0" applyFont="1" applyBorder="1" applyAlignment="1" applyProtection="1">
      <alignment horizontal="center"/>
      <protection hidden="1"/>
    </xf>
    <xf numFmtId="0" fontId="41" fillId="0" borderId="0" xfId="0" applyFont="1" applyBorder="1" applyProtection="1">
      <protection hidden="1"/>
    </xf>
    <xf numFmtId="0" fontId="41" fillId="0" borderId="21" xfId="0" applyFont="1" applyBorder="1" applyProtection="1">
      <protection hidden="1"/>
    </xf>
    <xf numFmtId="0" fontId="8" fillId="3" borderId="42" xfId="0" applyFont="1" applyFill="1" applyBorder="1" applyAlignment="1" applyProtection="1">
      <alignment horizontal="left"/>
      <protection hidden="1"/>
    </xf>
    <xf numFmtId="0" fontId="8" fillId="3" borderId="31" xfId="0" applyFont="1" applyFill="1" applyBorder="1" applyAlignment="1" applyProtection="1">
      <alignment horizontal="left"/>
      <protection hidden="1"/>
    </xf>
    <xf numFmtId="0" fontId="8" fillId="3" borderId="43" xfId="0" applyFont="1" applyFill="1" applyBorder="1" applyAlignment="1" applyProtection="1">
      <alignment horizontal="left"/>
      <protection hidden="1"/>
    </xf>
    <xf numFmtId="164" fontId="23" fillId="3" borderId="4" xfId="0" applyNumberFormat="1" applyFont="1" applyFill="1" applyBorder="1" applyAlignment="1" applyProtection="1">
      <alignment horizontal="center"/>
      <protection hidden="1"/>
    </xf>
    <xf numFmtId="164" fontId="23" fillId="3" borderId="6" xfId="0" applyNumberFormat="1" applyFont="1" applyFill="1" applyBorder="1" applyAlignment="1" applyProtection="1">
      <alignment horizontal="center"/>
      <protection hidden="1"/>
    </xf>
    <xf numFmtId="164" fontId="23" fillId="3" borderId="7" xfId="0" applyNumberFormat="1" applyFont="1" applyFill="1" applyBorder="1" applyAlignment="1" applyProtection="1">
      <alignment horizontal="center"/>
      <protection hidden="1"/>
    </xf>
    <xf numFmtId="0" fontId="43" fillId="0" borderId="1" xfId="0" applyFont="1" applyBorder="1" applyAlignment="1" applyProtection="1">
      <alignment horizontal="center"/>
      <protection hidden="1"/>
    </xf>
    <xf numFmtId="0" fontId="43" fillId="0" borderId="0" xfId="0" applyFont="1" applyBorder="1" applyAlignment="1" applyProtection="1">
      <alignment horizontal="center"/>
      <protection hidden="1"/>
    </xf>
    <xf numFmtId="0" fontId="43" fillId="0" borderId="20" xfId="0" applyFont="1" applyBorder="1" applyAlignment="1" applyProtection="1">
      <alignment horizontal="center"/>
      <protection hidden="1"/>
    </xf>
    <xf numFmtId="2" fontId="43" fillId="0" borderId="1" xfId="0" applyNumberFormat="1" applyFont="1" applyBorder="1" applyAlignment="1" applyProtection="1">
      <alignment horizontal="center"/>
      <protection hidden="1"/>
    </xf>
    <xf numFmtId="2" fontId="5" fillId="0" borderId="0" xfId="0" applyNumberFormat="1" applyFont="1" applyBorder="1" applyAlignment="1" applyProtection="1">
      <alignment horizontal="center"/>
      <protection hidden="1"/>
    </xf>
    <xf numFmtId="2" fontId="11" fillId="0" borderId="0" xfId="0" applyNumberFormat="1" applyFont="1" applyBorder="1" applyAlignment="1" applyProtection="1">
      <alignment horizontal="center"/>
      <protection hidden="1"/>
    </xf>
    <xf numFmtId="2" fontId="44" fillId="0" borderId="1" xfId="0" applyNumberFormat="1" applyFont="1" applyBorder="1" applyAlignment="1" applyProtection="1">
      <alignment horizontal="center"/>
      <protection hidden="1"/>
    </xf>
    <xf numFmtId="1" fontId="8" fillId="3" borderId="42" xfId="0" applyNumberFormat="1" applyFont="1" applyFill="1" applyBorder="1" applyAlignment="1" applyProtection="1">
      <alignment horizontal="left"/>
      <protection hidden="1"/>
    </xf>
    <xf numFmtId="1" fontId="8" fillId="3" borderId="31" xfId="0" applyNumberFormat="1" applyFont="1" applyFill="1" applyBorder="1" applyAlignment="1" applyProtection="1">
      <alignment horizontal="left"/>
      <protection hidden="1"/>
    </xf>
    <xf numFmtId="1" fontId="8" fillId="3" borderId="43" xfId="0" applyNumberFormat="1" applyFont="1" applyFill="1" applyBorder="1" applyAlignment="1" applyProtection="1">
      <alignment horizontal="left"/>
      <protection hidden="1"/>
    </xf>
    <xf numFmtId="0" fontId="43" fillId="3" borderId="1" xfId="0" applyFont="1" applyFill="1" applyBorder="1" applyAlignment="1" applyProtection="1">
      <alignment horizontal="center"/>
      <protection hidden="1"/>
    </xf>
    <xf numFmtId="0" fontId="23" fillId="0" borderId="4" xfId="0" applyFont="1" applyBorder="1" applyProtection="1">
      <protection hidden="1"/>
    </xf>
    <xf numFmtId="0" fontId="36" fillId="0" borderId="4" xfId="0" applyFont="1" applyBorder="1" applyProtection="1">
      <protection hidden="1"/>
    </xf>
    <xf numFmtId="0" fontId="10" fillId="0" borderId="0" xfId="0" applyFont="1" applyBorder="1" applyProtection="1">
      <protection hidden="1"/>
    </xf>
    <xf numFmtId="0" fontId="4" fillId="0" borderId="21" xfId="0" applyFont="1" applyBorder="1" applyProtection="1">
      <protection hidden="1"/>
    </xf>
    <xf numFmtId="0" fontId="23" fillId="0" borderId="4" xfId="0" applyFont="1" applyBorder="1" applyAlignment="1" applyProtection="1">
      <alignment horizontal="center" wrapText="1"/>
      <protection hidden="1"/>
    </xf>
    <xf numFmtId="1" fontId="23" fillId="0" borderId="6" xfId="0" applyNumberFormat="1" applyFont="1" applyFill="1" applyBorder="1" applyAlignment="1" applyProtection="1">
      <alignment horizontal="center"/>
      <protection hidden="1"/>
    </xf>
    <xf numFmtId="164" fontId="8" fillId="0" borderId="4" xfId="0" applyNumberFormat="1" applyFont="1" applyBorder="1" applyAlignment="1" applyProtection="1">
      <alignment horizontal="center"/>
      <protection hidden="1"/>
    </xf>
    <xf numFmtId="164" fontId="8" fillId="0" borderId="6" xfId="0" applyNumberFormat="1" applyFont="1" applyBorder="1" applyAlignment="1" applyProtection="1">
      <alignment horizontal="center"/>
      <protection hidden="1"/>
    </xf>
    <xf numFmtId="164" fontId="23" fillId="7" borderId="6" xfId="0" applyNumberFormat="1" applyFont="1" applyFill="1" applyBorder="1" applyAlignment="1" applyProtection="1">
      <alignment horizontal="center"/>
      <protection hidden="1"/>
    </xf>
    <xf numFmtId="0" fontId="10" fillId="0" borderId="21" xfId="0" applyFont="1" applyBorder="1" applyProtection="1">
      <protection hidden="1"/>
    </xf>
    <xf numFmtId="164" fontId="8" fillId="0" borderId="7" xfId="0" applyNumberFormat="1" applyFont="1" applyBorder="1" applyAlignment="1" applyProtection="1">
      <alignment horizontal="center"/>
      <protection hidden="1"/>
    </xf>
    <xf numFmtId="0" fontId="41" fillId="0" borderId="19" xfId="0" applyFont="1" applyBorder="1" applyAlignment="1" applyProtection="1">
      <alignment horizontal="center"/>
      <protection hidden="1"/>
    </xf>
    <xf numFmtId="0" fontId="41" fillId="0" borderId="30" xfId="0" applyFont="1" applyBorder="1" applyAlignment="1" applyProtection="1">
      <alignment horizontal="center"/>
      <protection hidden="1"/>
    </xf>
    <xf numFmtId="0" fontId="4" fillId="0" borderId="30" xfId="0" applyFont="1" applyBorder="1" applyProtection="1">
      <protection hidden="1"/>
    </xf>
    <xf numFmtId="0" fontId="39" fillId="0" borderId="17" xfId="0" applyFont="1" applyBorder="1" applyProtection="1">
      <protection hidden="1"/>
    </xf>
    <xf numFmtId="0" fontId="4" fillId="0" borderId="19" xfId="0" applyFont="1" applyBorder="1" applyProtection="1">
      <protection hidden="1"/>
    </xf>
    <xf numFmtId="0" fontId="10" fillId="0" borderId="30" xfId="0" applyFont="1" applyBorder="1" applyProtection="1">
      <protection hidden="1"/>
    </xf>
    <xf numFmtId="0" fontId="4" fillId="0" borderId="18" xfId="0" applyFont="1" applyBorder="1" applyProtection="1">
      <protection hidden="1"/>
    </xf>
    <xf numFmtId="0" fontId="10" fillId="0" borderId="0" xfId="0" applyFont="1" applyProtection="1">
      <protection hidden="1"/>
    </xf>
    <xf numFmtId="0" fontId="8" fillId="7" borderId="4" xfId="0" applyFont="1" applyFill="1" applyBorder="1" applyAlignment="1" applyProtection="1">
      <alignment horizontal="left"/>
      <protection hidden="1"/>
    </xf>
    <xf numFmtId="0" fontId="23" fillId="7" borderId="16" xfId="0" applyFont="1" applyFill="1" applyBorder="1" applyAlignment="1" applyProtection="1">
      <alignment horizontal="center"/>
      <protection hidden="1"/>
    </xf>
    <xf numFmtId="1" fontId="23" fillId="7" borderId="8" xfId="0" applyNumberFormat="1" applyFont="1" applyFill="1" applyBorder="1" applyAlignment="1" applyProtection="1">
      <alignment horizontal="center"/>
      <protection hidden="1"/>
    </xf>
    <xf numFmtId="1" fontId="23" fillId="7" borderId="9" xfId="0" applyNumberFormat="1" applyFont="1" applyFill="1" applyBorder="1" applyAlignment="1" applyProtection="1">
      <alignment horizontal="center"/>
      <protection hidden="1"/>
    </xf>
    <xf numFmtId="1" fontId="8" fillId="7" borderId="13" xfId="0" applyNumberFormat="1" applyFont="1" applyFill="1" applyBorder="1" applyAlignment="1" applyProtection="1">
      <alignment horizontal="center"/>
      <protection hidden="1"/>
    </xf>
    <xf numFmtId="164" fontId="23" fillId="7" borderId="8" xfId="0" applyNumberFormat="1" applyFont="1" applyFill="1" applyBorder="1" applyAlignment="1" applyProtection="1">
      <alignment horizontal="center"/>
      <protection hidden="1"/>
    </xf>
    <xf numFmtId="164" fontId="23" fillId="7" borderId="9" xfId="0" applyNumberFormat="1" applyFont="1" applyFill="1" applyBorder="1" applyAlignment="1" applyProtection="1">
      <alignment horizontal="center"/>
      <protection hidden="1"/>
    </xf>
    <xf numFmtId="164" fontId="23" fillId="7" borderId="13" xfId="0" applyNumberFormat="1" applyFont="1" applyFill="1" applyBorder="1" applyAlignment="1" applyProtection="1">
      <alignment horizontal="center"/>
      <protection hidden="1"/>
    </xf>
    <xf numFmtId="0" fontId="8" fillId="0" borderId="50" xfId="0" applyFont="1" applyFill="1" applyBorder="1" applyAlignment="1" applyProtection="1">
      <alignment horizontal="right"/>
      <protection hidden="1"/>
    </xf>
    <xf numFmtId="0" fontId="23" fillId="0" borderId="10" xfId="0" applyFont="1" applyBorder="1" applyAlignment="1" applyProtection="1">
      <alignment horizontal="left"/>
      <protection hidden="1"/>
    </xf>
    <xf numFmtId="2" fontId="23" fillId="0" borderId="5" xfId="0" applyNumberFormat="1" applyFont="1" applyBorder="1" applyAlignment="1" applyProtection="1">
      <alignment horizontal="center"/>
      <protection hidden="1"/>
    </xf>
    <xf numFmtId="2" fontId="23" fillId="0" borderId="38" xfId="0" applyNumberFormat="1" applyFont="1" applyBorder="1" applyAlignment="1" applyProtection="1">
      <alignment horizontal="center"/>
      <protection hidden="1"/>
    </xf>
    <xf numFmtId="2" fontId="8" fillId="0" borderId="39" xfId="0" applyNumberFormat="1" applyFont="1" applyBorder="1" applyAlignment="1" applyProtection="1">
      <alignment horizontal="center"/>
      <protection hidden="1"/>
    </xf>
    <xf numFmtId="164" fontId="8" fillId="0" borderId="5" xfId="0" applyNumberFormat="1" applyFont="1" applyBorder="1" applyAlignment="1" applyProtection="1">
      <alignment horizontal="center"/>
      <protection hidden="1"/>
    </xf>
    <xf numFmtId="164" fontId="8" fillId="0" borderId="38" xfId="0" applyNumberFormat="1" applyFont="1" applyBorder="1" applyAlignment="1" applyProtection="1">
      <alignment horizontal="center"/>
      <protection hidden="1"/>
    </xf>
    <xf numFmtId="164" fontId="8" fillId="0" borderId="39" xfId="0" applyNumberFormat="1" applyFont="1" applyBorder="1" applyAlignment="1" applyProtection="1">
      <alignment horizontal="center"/>
      <protection hidden="1"/>
    </xf>
    <xf numFmtId="0" fontId="23" fillId="0" borderId="0" xfId="0" applyFont="1" applyProtection="1">
      <protection hidden="1"/>
    </xf>
    <xf numFmtId="0" fontId="23" fillId="0" borderId="0" xfId="0" applyFont="1" applyAlignment="1" applyProtection="1">
      <alignment horizontal="center"/>
      <protection hidden="1"/>
    </xf>
    <xf numFmtId="0" fontId="8" fillId="0" borderId="0" xfId="0" applyFont="1" applyAlignment="1" applyProtection="1">
      <alignment horizontal="center"/>
      <protection hidden="1"/>
    </xf>
    <xf numFmtId="0" fontId="49" fillId="0" borderId="1" xfId="0" applyFont="1" applyBorder="1" applyAlignment="1" applyProtection="1">
      <alignment horizontal="center"/>
      <protection hidden="1"/>
    </xf>
    <xf numFmtId="0" fontId="44" fillId="0" borderId="1" xfId="0" applyFont="1" applyBorder="1" applyAlignment="1" applyProtection="1">
      <alignment horizontal="center"/>
      <protection hidden="1"/>
    </xf>
    <xf numFmtId="0" fontId="44" fillId="0" borderId="0" xfId="0" applyFont="1" applyBorder="1" applyProtection="1">
      <protection hidden="1"/>
    </xf>
    <xf numFmtId="0" fontId="39" fillId="0" borderId="1" xfId="0" applyFont="1" applyBorder="1" applyAlignment="1" applyProtection="1">
      <alignment horizontal="center"/>
      <protection hidden="1"/>
    </xf>
    <xf numFmtId="0" fontId="35" fillId="0" borderId="0" xfId="1" applyAlignment="1" applyProtection="1">
      <alignment horizontal="center" vertical="top" wrapText="1"/>
      <protection locked="0"/>
    </xf>
    <xf numFmtId="0" fontId="23" fillId="0" borderId="0" xfId="0" applyFont="1" applyAlignment="1">
      <alignment horizontal="left" vertical="top" wrapText="1"/>
    </xf>
    <xf numFmtId="0" fontId="32" fillId="0" borderId="0" xfId="0" applyFont="1" applyAlignment="1">
      <alignment horizontal="left" vertical="top" wrapText="1"/>
    </xf>
    <xf numFmtId="0" fontId="11" fillId="2" borderId="14" xfId="0" applyFont="1" applyFill="1" applyBorder="1" applyAlignment="1" applyProtection="1">
      <alignment horizontal="center" vertical="center" wrapText="1"/>
      <protection hidden="1"/>
    </xf>
    <xf numFmtId="0" fontId="11" fillId="2" borderId="20" xfId="0" applyFont="1" applyFill="1" applyBorder="1" applyAlignment="1" applyProtection="1">
      <alignment horizontal="center" vertical="center" wrapText="1"/>
      <protection hidden="1"/>
    </xf>
    <xf numFmtId="0" fontId="41" fillId="0" borderId="34" xfId="0" applyFont="1" applyBorder="1" applyAlignment="1" applyProtection="1">
      <alignment horizontal="center"/>
      <protection hidden="1"/>
    </xf>
    <xf numFmtId="0" fontId="41" fillId="0" borderId="31" xfId="0" applyFont="1" applyBorder="1" applyAlignment="1" applyProtection="1">
      <alignment horizontal="center"/>
      <protection hidden="1"/>
    </xf>
    <xf numFmtId="0" fontId="41" fillId="0" borderId="32" xfId="0" applyFont="1" applyBorder="1" applyAlignment="1" applyProtection="1">
      <alignment horizontal="center"/>
      <protection hidden="1"/>
    </xf>
    <xf numFmtId="0" fontId="40" fillId="0" borderId="1" xfId="0" applyFont="1" applyBorder="1" applyAlignment="1" applyProtection="1">
      <alignment horizontal="center"/>
      <protection hidden="1"/>
    </xf>
    <xf numFmtId="0" fontId="40" fillId="0" borderId="0" xfId="0" applyFont="1" applyBorder="1" applyAlignment="1" applyProtection="1">
      <alignment horizontal="center"/>
      <protection hidden="1"/>
    </xf>
    <xf numFmtId="0" fontId="40" fillId="0" borderId="20" xfId="0" applyFont="1" applyBorder="1" applyAlignment="1" applyProtection="1">
      <alignment horizontal="center"/>
      <protection hidden="1"/>
    </xf>
    <xf numFmtId="0" fontId="11" fillId="2" borderId="0" xfId="0" applyFont="1" applyFill="1" applyBorder="1" applyAlignment="1" applyProtection="1">
      <alignment horizontal="center"/>
      <protection hidden="1"/>
    </xf>
    <xf numFmtId="0" fontId="11" fillId="2" borderId="20" xfId="0" applyFont="1" applyFill="1" applyBorder="1" applyAlignment="1" applyProtection="1">
      <alignment horizontal="center"/>
      <protection hidden="1"/>
    </xf>
    <xf numFmtId="0" fontId="15" fillId="2" borderId="34" xfId="0" applyFont="1" applyFill="1" applyBorder="1" applyAlignment="1" applyProtection="1">
      <alignment horizontal="center"/>
      <protection locked="0"/>
    </xf>
    <xf numFmtId="0" fontId="15" fillId="2" borderId="31" xfId="0" applyFont="1" applyFill="1" applyBorder="1" applyAlignment="1" applyProtection="1">
      <alignment horizontal="center"/>
      <protection locked="0"/>
    </xf>
    <xf numFmtId="0" fontId="15" fillId="2" borderId="32" xfId="0" applyFont="1" applyFill="1" applyBorder="1" applyAlignment="1" applyProtection="1">
      <alignment horizontal="center"/>
      <protection locked="0"/>
    </xf>
    <xf numFmtId="0" fontId="8" fillId="0" borderId="52" xfId="0" applyFont="1" applyFill="1" applyBorder="1" applyAlignment="1" applyProtection="1">
      <alignment horizontal="center"/>
      <protection hidden="1"/>
    </xf>
    <xf numFmtId="0" fontId="8" fillId="0" borderId="2" xfId="0" applyFont="1" applyFill="1" applyBorder="1" applyAlignment="1" applyProtection="1">
      <alignment horizontal="center"/>
      <protection hidden="1"/>
    </xf>
    <xf numFmtId="0" fontId="8" fillId="0" borderId="3" xfId="0" applyFont="1" applyFill="1" applyBorder="1" applyAlignment="1" applyProtection="1">
      <alignment horizontal="center"/>
      <protection hidden="1"/>
    </xf>
    <xf numFmtId="0" fontId="8" fillId="0" borderId="44" xfId="0" applyFont="1" applyFill="1" applyBorder="1" applyAlignment="1" applyProtection="1">
      <alignment horizontal="center"/>
      <protection hidden="1"/>
    </xf>
    <xf numFmtId="0" fontId="8" fillId="0" borderId="45" xfId="0" applyFont="1" applyFill="1" applyBorder="1" applyAlignment="1" applyProtection="1">
      <alignment horizontal="center"/>
      <protection hidden="1"/>
    </xf>
    <xf numFmtId="0" fontId="8" fillId="0" borderId="46" xfId="0" applyFont="1" applyFill="1" applyBorder="1" applyAlignment="1" applyProtection="1">
      <alignment horizontal="center"/>
      <protection hidden="1"/>
    </xf>
    <xf numFmtId="0" fontId="8" fillId="0" borderId="52"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8" fillId="0" borderId="5"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34" xfId="0" applyFont="1" applyFill="1" applyBorder="1" applyAlignment="1" applyProtection="1">
      <alignment horizontal="center" vertical="center"/>
      <protection hidden="1"/>
    </xf>
    <xf numFmtId="0" fontId="8" fillId="0" borderId="10" xfId="0" applyFont="1" applyFill="1" applyBorder="1" applyAlignment="1" applyProtection="1">
      <alignment horizontal="center" vertical="center"/>
      <protection hidden="1"/>
    </xf>
    <xf numFmtId="0" fontId="8" fillId="2" borderId="34" xfId="0" applyFont="1" applyFill="1" applyBorder="1" applyAlignment="1" applyProtection="1">
      <alignment horizontal="left" vertical="center"/>
      <protection locked="0"/>
    </xf>
    <xf numFmtId="0" fontId="8" fillId="2" borderId="31" xfId="0" applyFont="1" applyFill="1" applyBorder="1" applyAlignment="1" applyProtection="1">
      <alignment horizontal="left" vertical="center"/>
      <protection locked="0"/>
    </xf>
    <xf numFmtId="0" fontId="8" fillId="2" borderId="32" xfId="0" applyFont="1" applyFill="1" applyBorder="1" applyAlignment="1" applyProtection="1">
      <alignment horizontal="left" vertical="center"/>
      <protection locked="0"/>
    </xf>
    <xf numFmtId="0" fontId="23" fillId="2" borderId="34" xfId="0" applyFont="1" applyFill="1" applyBorder="1" applyAlignment="1" applyProtection="1">
      <alignment horizontal="left" vertical="center"/>
      <protection locked="0"/>
    </xf>
    <xf numFmtId="0" fontId="23" fillId="2" borderId="31" xfId="0" applyFont="1" applyFill="1" applyBorder="1" applyAlignment="1" applyProtection="1">
      <alignment horizontal="left" vertical="center"/>
      <protection locked="0"/>
    </xf>
    <xf numFmtId="0" fontId="23" fillId="2" borderId="32" xfId="0" applyFont="1" applyFill="1" applyBorder="1" applyAlignment="1" applyProtection="1">
      <alignment horizontal="left" vertical="center"/>
      <protection locked="0"/>
    </xf>
    <xf numFmtId="0" fontId="1" fillId="0" borderId="34"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horizontal="left" vertical="center" wrapText="1"/>
    </xf>
    <xf numFmtId="0" fontId="1" fillId="0" borderId="14" xfId="0" applyFont="1" applyBorder="1" applyAlignment="1">
      <alignment horizontal="left" vertical="center" wrapText="1"/>
    </xf>
    <xf numFmtId="0" fontId="1" fillId="0" borderId="30" xfId="0" applyFont="1" applyBorder="1" applyAlignment="1">
      <alignment horizontal="left" vertical="center" wrapText="1"/>
    </xf>
    <xf numFmtId="0" fontId="1" fillId="0" borderId="17" xfId="0" applyFont="1" applyBorder="1" applyAlignment="1">
      <alignment horizontal="left" vertical="center" wrapText="1"/>
    </xf>
    <xf numFmtId="0" fontId="21" fillId="0" borderId="0" xfId="0" applyFont="1" applyAlignment="1">
      <alignment horizontal="left" vertical="top" wrapText="1"/>
    </xf>
    <xf numFmtId="0" fontId="22" fillId="0" borderId="0" xfId="0" applyFont="1" applyAlignment="1">
      <alignment horizontal="left" vertical="top" wrapText="1"/>
    </xf>
    <xf numFmtId="0" fontId="15" fillId="2" borderId="34" xfId="0" applyFont="1" applyFill="1" applyBorder="1" applyAlignment="1" applyProtection="1">
      <alignment horizontal="left"/>
      <protection locked="0"/>
    </xf>
    <xf numFmtId="0" fontId="15" fillId="2" borderId="31" xfId="0" applyFont="1" applyFill="1" applyBorder="1" applyAlignment="1" applyProtection="1">
      <alignment horizontal="left"/>
      <protection locked="0"/>
    </xf>
    <xf numFmtId="0" fontId="15" fillId="2" borderId="32" xfId="0" applyFont="1" applyFill="1" applyBorder="1" applyAlignment="1" applyProtection="1">
      <alignment horizontal="left"/>
      <protection locked="0"/>
    </xf>
    <xf numFmtId="0" fontId="8" fillId="0" borderId="52" xfId="0" applyFont="1" applyFill="1" applyBorder="1" applyAlignment="1" applyProtection="1">
      <alignment horizontal="center"/>
    </xf>
    <xf numFmtId="0" fontId="8" fillId="0" borderId="2"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44" xfId="0" applyFont="1" applyFill="1" applyBorder="1" applyAlignment="1" applyProtection="1">
      <alignment horizontal="center"/>
    </xf>
    <xf numFmtId="0" fontId="8" fillId="0" borderId="45" xfId="0" applyFont="1" applyFill="1" applyBorder="1" applyAlignment="1" applyProtection="1">
      <alignment horizontal="center"/>
    </xf>
    <xf numFmtId="0" fontId="5" fillId="0" borderId="52"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0" fillId="0" borderId="10" xfId="0" applyBorder="1" applyAlignment="1">
      <alignment horizontal="center" vertical="center" wrapText="1"/>
    </xf>
    <xf numFmtId="0" fontId="0" fillId="0" borderId="11" xfId="0" applyBorder="1"/>
    <xf numFmtId="0" fontId="0" fillId="0" borderId="12" xfId="0" applyBorder="1"/>
  </cellXfs>
  <cellStyles count="2">
    <cellStyle name="Hyperlink" xfId="1" builtinId="8"/>
    <cellStyle name="Normal" xfId="0" builtinId="0"/>
  </cellStyles>
  <dxfs count="2">
    <dxf>
      <font>
        <condense val="0"/>
        <extend val="0"/>
        <color indexed="10"/>
      </font>
    </dxf>
    <dxf>
      <font>
        <condense val="0"/>
        <extend val="0"/>
        <color indexed="10"/>
      </font>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AU"/>
              <a:t>Fig 1. Approx Greenhouse Gas Emissions (total of CH4 and N2O) for Different Types of Treatment Works and Population Served</a:t>
            </a:r>
          </a:p>
        </c:rich>
      </c:tx>
      <c:layout>
        <c:manualLayout>
          <c:xMode val="edge"/>
          <c:yMode val="edge"/>
          <c:x val="0.10246305418719212"/>
          <c:y val="2.8813559322033899E-2"/>
        </c:manualLayout>
      </c:layout>
      <c:overlay val="0"/>
      <c:spPr>
        <a:noFill/>
        <a:ln w="25400">
          <a:noFill/>
        </a:ln>
      </c:spPr>
    </c:title>
    <c:autoTitleDeleted val="0"/>
    <c:plotArea>
      <c:layout>
        <c:manualLayout>
          <c:layoutTarget val="inner"/>
          <c:xMode val="edge"/>
          <c:yMode val="edge"/>
          <c:x val="7.6847327608974572E-2"/>
          <c:y val="0.15932203389830507"/>
          <c:w val="0.89753737758686958"/>
          <c:h val="0.71864406779661016"/>
        </c:manualLayout>
      </c:layout>
      <c:scatterChart>
        <c:scatterStyle val="lineMarker"/>
        <c:varyColors val="0"/>
        <c:ser>
          <c:idx val="3"/>
          <c:order val="0"/>
          <c:tx>
            <c:strRef>
              <c:f>'STW Graphs'!$D$93</c:f>
              <c:strCache>
                <c:ptCount val="1"/>
                <c:pt idx="0">
                  <c:v>Managed aerobic treatment</c:v>
                </c:pt>
              </c:strCache>
            </c:strRef>
          </c:tx>
          <c:spPr>
            <a:ln w="25400">
              <a:solidFill>
                <a:srgbClr val="FF6600"/>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Graphs'!$G$116:$G$119</c:f>
              <c:numCache>
                <c:formatCode>0</c:formatCode>
                <c:ptCount val="4"/>
              </c:numCache>
            </c:numRef>
          </c:yVal>
          <c:smooth val="0"/>
        </c:ser>
        <c:ser>
          <c:idx val="5"/>
          <c:order val="1"/>
          <c:tx>
            <c:strRef>
              <c:f>'STW Graphs'!$D$99</c:f>
              <c:strCache>
                <c:ptCount val="1"/>
                <c:pt idx="0">
                  <c:v>Unmanaged aerobic treatment</c:v>
                </c:pt>
              </c:strCache>
            </c:strRef>
          </c:tx>
          <c:spPr>
            <a:ln w="25400">
              <a:solidFill>
                <a:srgbClr val="800000"/>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Graphs'!$J$116:$J$119</c:f>
              <c:numCache>
                <c:formatCode>0</c:formatCode>
                <c:ptCount val="4"/>
              </c:numCache>
            </c:numRef>
          </c:yVal>
          <c:smooth val="0"/>
        </c:ser>
        <c:ser>
          <c:idx val="7"/>
          <c:order val="2"/>
          <c:spPr>
            <a:ln w="12700">
              <a:solidFill>
                <a:srgbClr val="0000FF"/>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Graphs'!$S$116:$S$119</c:f>
              <c:numCache>
                <c:formatCode>0</c:formatCode>
                <c:ptCount val="4"/>
              </c:numCache>
            </c:numRef>
          </c:yVal>
          <c:smooth val="0"/>
        </c:ser>
        <c:ser>
          <c:idx val="0"/>
          <c:order val="3"/>
          <c:spPr>
            <a:ln w="25400">
              <a:solidFill>
                <a:srgbClr val="000080"/>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Graphs'!$T$116:$T$119</c:f>
              <c:numCache>
                <c:formatCode>0</c:formatCode>
                <c:ptCount val="4"/>
              </c:numCache>
            </c:numRef>
          </c:yVal>
          <c:smooth val="0"/>
        </c:ser>
        <c:ser>
          <c:idx val="10"/>
          <c:order val="4"/>
          <c:spPr>
            <a:ln w="12700">
              <a:solidFill>
                <a:srgbClr val="008000"/>
              </a:solidFill>
              <a:prstDash val="lgDash"/>
            </a:ln>
          </c:spPr>
          <c:marker>
            <c:symbol val="square"/>
            <c:size val="5"/>
            <c:spPr>
              <a:solidFill>
                <a:srgbClr val="CCFFCC"/>
              </a:solidFill>
              <a:ln>
                <a:solidFill>
                  <a:srgbClr val="CCFFCC"/>
                </a:solidFill>
                <a:prstDash val="solid"/>
              </a:ln>
            </c:spPr>
          </c:marker>
          <c:xVal>
            <c:numRef>
              <c:f>'STW Graphs'!$D$116:$D$119</c:f>
              <c:numCache>
                <c:formatCode>General</c:formatCode>
                <c:ptCount val="4"/>
                <c:pt idx="0">
                  <c:v>1000</c:v>
                </c:pt>
                <c:pt idx="1">
                  <c:v>5000</c:v>
                </c:pt>
                <c:pt idx="2">
                  <c:v>10000</c:v>
                </c:pt>
                <c:pt idx="3">
                  <c:v>50000</c:v>
                </c:pt>
              </c:numCache>
            </c:numRef>
          </c:xVal>
          <c:yVal>
            <c:numRef>
              <c:f>'STW Graphs'!$L$116:$L$119</c:f>
              <c:numCache>
                <c:formatCode>0</c:formatCode>
                <c:ptCount val="4"/>
              </c:numCache>
            </c:numRef>
          </c:yVal>
          <c:smooth val="0"/>
        </c:ser>
        <c:ser>
          <c:idx val="11"/>
          <c:order val="5"/>
          <c:tx>
            <c:strRef>
              <c:f>'STW Graphs'!$D$92</c:f>
              <c:strCache>
                <c:ptCount val="1"/>
                <c:pt idx="0">
                  <c:v>Managed aerobic treatment</c:v>
                </c:pt>
              </c:strCache>
            </c:strRef>
          </c:tx>
          <c:spPr>
            <a:ln w="25400">
              <a:solidFill>
                <a:srgbClr val="008000"/>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Graphs'!$M$116:$M$119</c:f>
              <c:numCache>
                <c:formatCode>0</c:formatCode>
                <c:ptCount val="4"/>
              </c:numCache>
            </c:numRef>
          </c:yVal>
          <c:smooth val="0"/>
        </c:ser>
        <c:ser>
          <c:idx val="4"/>
          <c:order val="6"/>
          <c:tx>
            <c:strRef>
              <c:f>'STW Graphs'!$H$107</c:f>
              <c:strCache>
                <c:ptCount val="1"/>
                <c:pt idx="0">
                  <c:v>B.  Unmanaged aerobic, shallow lagoon</c:v>
                </c:pt>
              </c:strCache>
            </c:strRef>
          </c:tx>
          <c:spPr>
            <a:ln w="25400">
              <a:solidFill>
                <a:srgbClr val="800080"/>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Graphs'!$H$116:$H$119</c:f>
              <c:numCache>
                <c:formatCode>0</c:formatCode>
                <c:ptCount val="4"/>
                <c:pt idx="0">
                  <c:v>99.23129999999999</c:v>
                </c:pt>
                <c:pt idx="1">
                  <c:v>496.15649999999999</c:v>
                </c:pt>
                <c:pt idx="2">
                  <c:v>992.31299999999999</c:v>
                </c:pt>
                <c:pt idx="3">
                  <c:v>4961.5649999999996</c:v>
                </c:pt>
              </c:numCache>
            </c:numRef>
          </c:yVal>
          <c:smooth val="0"/>
        </c:ser>
        <c:ser>
          <c:idx val="2"/>
          <c:order val="7"/>
          <c:tx>
            <c:strRef>
              <c:f>'STW Graphs'!$E$107</c:f>
              <c:strCache>
                <c:ptCount val="1"/>
                <c:pt idx="0">
                  <c:v>A.  Unmanaged aerobic treatment, Deep Pond</c:v>
                </c:pt>
              </c:strCache>
            </c:strRef>
          </c:tx>
          <c:spPr>
            <a:ln w="25400">
              <a:solidFill>
                <a:srgbClr val="FF6600"/>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Graphs'!$E$116:$E$119</c:f>
              <c:numCache>
                <c:formatCode>0</c:formatCode>
                <c:ptCount val="4"/>
                <c:pt idx="0">
                  <c:v>231.9093</c:v>
                </c:pt>
                <c:pt idx="1">
                  <c:v>1159.5464999999999</c:v>
                </c:pt>
                <c:pt idx="2">
                  <c:v>2319.0929999999998</c:v>
                </c:pt>
                <c:pt idx="3">
                  <c:v>11595.465</c:v>
                </c:pt>
              </c:numCache>
            </c:numRef>
          </c:yVal>
          <c:smooth val="0"/>
        </c:ser>
        <c:ser>
          <c:idx val="6"/>
          <c:order val="8"/>
          <c:tx>
            <c:strRef>
              <c:f>'STW Graphs'!$K$107</c:f>
              <c:strCache>
                <c:ptCount val="1"/>
                <c:pt idx="0">
                  <c:v>C.  Managed aerobic with anaerobic digestor</c:v>
                </c:pt>
              </c:strCache>
            </c:strRef>
          </c:tx>
          <c:spPr>
            <a:ln w="25400">
              <a:solidFill>
                <a:srgbClr val="008080"/>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Graphs'!$K$116:$K$119</c:f>
              <c:numCache>
                <c:formatCode>0</c:formatCode>
                <c:ptCount val="4"/>
                <c:pt idx="0">
                  <c:v>196.52850000000001</c:v>
                </c:pt>
                <c:pt idx="1">
                  <c:v>982.64249999999993</c:v>
                </c:pt>
                <c:pt idx="2">
                  <c:v>1965.2849999999999</c:v>
                </c:pt>
                <c:pt idx="3">
                  <c:v>9826.4249999999993</c:v>
                </c:pt>
              </c:numCache>
            </c:numRef>
          </c:yVal>
          <c:smooth val="0"/>
        </c:ser>
        <c:ser>
          <c:idx val="8"/>
          <c:order val="9"/>
          <c:tx>
            <c:strRef>
              <c:f>'STW Graphs'!$H$107</c:f>
              <c:strCache>
                <c:ptCount val="1"/>
                <c:pt idx="0">
                  <c:v>B.  Unmanaged aerobic, shallow lagoon</c:v>
                </c:pt>
              </c:strCache>
            </c:strRef>
          </c:tx>
          <c:spPr>
            <a:ln w="25400">
              <a:solidFill>
                <a:srgbClr val="FF0000"/>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Graphs'!$H$116:$H$119</c:f>
              <c:numCache>
                <c:formatCode>0</c:formatCode>
                <c:ptCount val="4"/>
                <c:pt idx="0">
                  <c:v>99.23129999999999</c:v>
                </c:pt>
                <c:pt idx="1">
                  <c:v>496.15649999999999</c:v>
                </c:pt>
                <c:pt idx="2">
                  <c:v>992.31299999999999</c:v>
                </c:pt>
                <c:pt idx="3">
                  <c:v>4961.5649999999996</c:v>
                </c:pt>
              </c:numCache>
            </c:numRef>
          </c:yVal>
          <c:smooth val="0"/>
        </c:ser>
        <c:ser>
          <c:idx val="9"/>
          <c:order val="10"/>
          <c:tx>
            <c:strRef>
              <c:f>'STW Graphs'!$N$107</c:f>
              <c:strCache>
                <c:ptCount val="1"/>
                <c:pt idx="0">
                  <c:v>D.  Managed Aerobic and shallow pond &lt;2m</c:v>
                </c:pt>
              </c:strCache>
            </c:strRef>
          </c:tx>
          <c:spPr>
            <a:ln w="25400">
              <a:solidFill>
                <a:srgbClr val="0000FF"/>
              </a:solidFill>
              <a:prstDash val="solid"/>
            </a:ln>
          </c:spPr>
          <c:marker>
            <c:symbol val="none"/>
          </c:marker>
          <c:xVal>
            <c:numRef>
              <c:f>'STW Graphs'!$D$116:$D$119</c:f>
              <c:numCache>
                <c:formatCode>General</c:formatCode>
                <c:ptCount val="4"/>
                <c:pt idx="0">
                  <c:v>1000</c:v>
                </c:pt>
                <c:pt idx="1">
                  <c:v>5000</c:v>
                </c:pt>
                <c:pt idx="2">
                  <c:v>10000</c:v>
                </c:pt>
                <c:pt idx="3">
                  <c:v>50000</c:v>
                </c:pt>
              </c:numCache>
            </c:numRef>
          </c:xVal>
          <c:yVal>
            <c:numRef>
              <c:f>'STW Graphs'!$N$116:$N$119</c:f>
              <c:numCache>
                <c:formatCode>0</c:formatCode>
                <c:ptCount val="4"/>
                <c:pt idx="0">
                  <c:v>63.850499999999997</c:v>
                </c:pt>
                <c:pt idx="1">
                  <c:v>319.2525</c:v>
                </c:pt>
                <c:pt idx="2">
                  <c:v>638.505</c:v>
                </c:pt>
                <c:pt idx="3">
                  <c:v>3192.5250000000001</c:v>
                </c:pt>
              </c:numCache>
            </c:numRef>
          </c:yVal>
          <c:smooth val="0"/>
        </c:ser>
        <c:dLbls>
          <c:showLegendKey val="0"/>
          <c:showVal val="0"/>
          <c:showCatName val="0"/>
          <c:showSerName val="0"/>
          <c:showPercent val="0"/>
          <c:showBubbleSize val="0"/>
        </c:dLbls>
        <c:axId val="180826904"/>
        <c:axId val="180827296"/>
      </c:scatterChart>
      <c:valAx>
        <c:axId val="180826904"/>
        <c:scaling>
          <c:orientation val="minMax"/>
          <c:max val="45000"/>
        </c:scaling>
        <c:delete val="0"/>
        <c:axPos val="b"/>
        <c:title>
          <c:tx>
            <c:rich>
              <a:bodyPr/>
              <a:lstStyle/>
              <a:p>
                <a:pPr>
                  <a:defRPr sz="1200" b="1" i="0" u="none" strike="noStrike" baseline="0">
                    <a:solidFill>
                      <a:srgbClr val="000000"/>
                    </a:solidFill>
                    <a:latin typeface="Arial"/>
                    <a:ea typeface="Arial"/>
                    <a:cs typeface="Arial"/>
                  </a:defRPr>
                </a:pPr>
                <a:r>
                  <a:rPr lang="en-AU"/>
                  <a:t>Population</a:t>
                </a:r>
              </a:p>
            </c:rich>
          </c:tx>
          <c:layout>
            <c:manualLayout>
              <c:xMode val="edge"/>
              <c:yMode val="edge"/>
              <c:x val="0.48177360588547119"/>
              <c:y val="0.930508474576271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0827296"/>
        <c:crosses val="autoZero"/>
        <c:crossBetween val="midCat"/>
        <c:majorUnit val="5000"/>
      </c:valAx>
      <c:valAx>
        <c:axId val="180827296"/>
        <c:scaling>
          <c:orientation val="minMax"/>
          <c:max val="200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AU"/>
                  <a:t>Emissions (Tonnes CO2 equivalent)</a:t>
                </a:r>
              </a:p>
            </c:rich>
          </c:tx>
          <c:layout>
            <c:manualLayout>
              <c:xMode val="edge"/>
              <c:yMode val="edge"/>
              <c:x val="4.9261083743842365E-3"/>
              <c:y val="0.262711864406779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0826904"/>
        <c:crosses val="autoZero"/>
        <c:crossBetween val="midCat"/>
        <c:majorUnit val="200"/>
      </c:valAx>
      <c:spPr>
        <a:solidFill>
          <a:srgbClr val="FFFFFF"/>
        </a:solidFill>
        <a:ln w="3175">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horizontalDpi="-4"/>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AU"/>
              <a:t>Fig 2. Approx Greenhouse Gas Emissions (total of CH4 and N2O) for Different Types of Treatment Works and Volume Treated</a:t>
            </a:r>
          </a:p>
        </c:rich>
      </c:tx>
      <c:layout>
        <c:manualLayout>
          <c:xMode val="edge"/>
          <c:yMode val="edge"/>
          <c:x val="0.14825881093221555"/>
          <c:y val="2.8813559322033899E-2"/>
        </c:manualLayout>
      </c:layout>
      <c:overlay val="0"/>
      <c:spPr>
        <a:noFill/>
        <a:ln w="25400">
          <a:noFill/>
        </a:ln>
      </c:spPr>
    </c:title>
    <c:autoTitleDeleted val="0"/>
    <c:plotArea>
      <c:layout>
        <c:manualLayout>
          <c:layoutTarget val="inner"/>
          <c:xMode val="edge"/>
          <c:yMode val="edge"/>
          <c:x val="7.9602067399396959E-2"/>
          <c:y val="0.20338983050847459"/>
          <c:w val="0.89950336161318567"/>
          <c:h val="0.70508474576271185"/>
        </c:manualLayout>
      </c:layout>
      <c:scatterChart>
        <c:scatterStyle val="lineMarker"/>
        <c:varyColors val="0"/>
        <c:ser>
          <c:idx val="0"/>
          <c:order val="0"/>
          <c:tx>
            <c:strRef>
              <c:f>'STW Graphs'!$D$97</c:f>
              <c:strCache>
                <c:ptCount val="1"/>
                <c:pt idx="0">
                  <c:v>Unmanaged aerobic treatment</c:v>
                </c:pt>
              </c:strCache>
            </c:strRef>
          </c:tx>
          <c:spPr>
            <a:ln w="12700">
              <a:solidFill>
                <a:srgbClr val="FF660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Graphs'!$F$122:$F$126</c:f>
              <c:numCache>
                <c:formatCode>0</c:formatCode>
                <c:ptCount val="5"/>
              </c:numCache>
            </c:numRef>
          </c:yVal>
          <c:smooth val="0"/>
        </c:ser>
        <c:ser>
          <c:idx val="3"/>
          <c:order val="1"/>
          <c:tx>
            <c:strRef>
              <c:f>'STW Graphs'!$D$93</c:f>
              <c:strCache>
                <c:ptCount val="1"/>
                <c:pt idx="0">
                  <c:v>Managed aerobic treatment</c:v>
                </c:pt>
              </c:strCache>
            </c:strRef>
          </c:tx>
          <c:spPr>
            <a:ln w="25400">
              <a:solidFill>
                <a:srgbClr val="FF660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Graphs'!$G$122:$G$126</c:f>
              <c:numCache>
                <c:formatCode>0</c:formatCode>
                <c:ptCount val="5"/>
              </c:numCache>
            </c:numRef>
          </c:yVal>
          <c:smooth val="0"/>
        </c:ser>
        <c:ser>
          <c:idx val="1"/>
          <c:order val="2"/>
          <c:spPr>
            <a:ln w="12700">
              <a:solidFill>
                <a:srgbClr val="99330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Graphs'!$I$122:$I$126</c:f>
              <c:numCache>
                <c:formatCode>0</c:formatCode>
                <c:ptCount val="5"/>
              </c:numCache>
            </c:numRef>
          </c:yVal>
          <c:smooth val="0"/>
        </c:ser>
        <c:ser>
          <c:idx val="5"/>
          <c:order val="3"/>
          <c:tx>
            <c:strRef>
              <c:f>'STW Graphs'!$D$99</c:f>
              <c:strCache>
                <c:ptCount val="1"/>
                <c:pt idx="0">
                  <c:v>Unmanaged aerobic treatment</c:v>
                </c:pt>
              </c:strCache>
            </c:strRef>
          </c:tx>
          <c:spPr>
            <a:ln w="25400">
              <a:solidFill>
                <a:srgbClr val="80000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Graphs'!$J$122:$J$126</c:f>
              <c:numCache>
                <c:formatCode>0</c:formatCode>
                <c:ptCount val="5"/>
              </c:numCache>
            </c:numRef>
          </c:yVal>
          <c:smooth val="0"/>
        </c:ser>
        <c:ser>
          <c:idx val="7"/>
          <c:order val="4"/>
          <c:spPr>
            <a:ln w="12700">
              <a:solidFill>
                <a:srgbClr val="0000FF"/>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Graphs'!$S$122:$S$126</c:f>
              <c:numCache>
                <c:formatCode>0</c:formatCode>
                <c:ptCount val="5"/>
              </c:numCache>
            </c:numRef>
          </c:yVal>
          <c:smooth val="0"/>
        </c:ser>
        <c:ser>
          <c:idx val="0"/>
          <c:order val="5"/>
          <c:spPr>
            <a:ln w="25400">
              <a:solidFill>
                <a:srgbClr val="00008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Graphs'!$T$122:$T$126</c:f>
              <c:numCache>
                <c:formatCode>0</c:formatCode>
                <c:ptCount val="5"/>
              </c:numCache>
            </c:numRef>
          </c:yVal>
          <c:smooth val="0"/>
        </c:ser>
        <c:ser>
          <c:idx val="10"/>
          <c:order val="6"/>
          <c:spPr>
            <a:ln w="12700">
              <a:solidFill>
                <a:srgbClr val="008000"/>
              </a:solidFill>
              <a:prstDash val="lgDash"/>
            </a:ln>
          </c:spPr>
          <c:marker>
            <c:symbol val="square"/>
            <c:size val="5"/>
            <c:spPr>
              <a:solidFill>
                <a:srgbClr val="CCFFCC"/>
              </a:solidFill>
              <a:ln>
                <a:solidFill>
                  <a:srgbClr val="CCFFCC"/>
                </a:solidFill>
                <a:prstDash val="solid"/>
              </a:ln>
            </c:spPr>
          </c:marker>
          <c:xVal>
            <c:numRef>
              <c:f>'STW Graphs'!$D$122:$D$126</c:f>
              <c:numCache>
                <c:formatCode>General</c:formatCode>
                <c:ptCount val="5"/>
                <c:pt idx="0">
                  <c:v>73</c:v>
                </c:pt>
                <c:pt idx="1">
                  <c:v>365</c:v>
                </c:pt>
                <c:pt idx="2">
                  <c:v>730</c:v>
                </c:pt>
                <c:pt idx="3">
                  <c:v>3650</c:v>
                </c:pt>
                <c:pt idx="4">
                  <c:v>7300</c:v>
                </c:pt>
              </c:numCache>
            </c:numRef>
          </c:xVal>
          <c:yVal>
            <c:numRef>
              <c:f>'STW Graphs'!$L$122:$L$126</c:f>
              <c:numCache>
                <c:formatCode>0</c:formatCode>
                <c:ptCount val="5"/>
              </c:numCache>
            </c:numRef>
          </c:yVal>
          <c:smooth val="0"/>
        </c:ser>
        <c:ser>
          <c:idx val="11"/>
          <c:order val="7"/>
          <c:tx>
            <c:strRef>
              <c:f>'STW Graphs'!$D$92</c:f>
              <c:strCache>
                <c:ptCount val="1"/>
                <c:pt idx="0">
                  <c:v>Managed aerobic treatment</c:v>
                </c:pt>
              </c:strCache>
            </c:strRef>
          </c:tx>
          <c:spPr>
            <a:ln w="25400">
              <a:solidFill>
                <a:srgbClr val="00800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Graphs'!$M$122:$M$126</c:f>
              <c:numCache>
                <c:formatCode>0</c:formatCode>
                <c:ptCount val="5"/>
              </c:numCache>
            </c:numRef>
          </c:yVal>
          <c:smooth val="0"/>
        </c:ser>
        <c:ser>
          <c:idx val="4"/>
          <c:order val="8"/>
          <c:tx>
            <c:strRef>
              <c:f>'STW Graphs'!$P$107</c:f>
              <c:strCache>
                <c:ptCount val="1"/>
                <c:pt idx="0">
                  <c:v>E.  Trickle Filter and shallow pond &lt;2m</c:v>
                </c:pt>
              </c:strCache>
            </c:strRef>
          </c:tx>
          <c:spPr>
            <a:ln w="25400">
              <a:solidFill>
                <a:srgbClr val="80008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Graphs'!$H$122:$H$126</c:f>
              <c:numCache>
                <c:formatCode>0</c:formatCode>
                <c:ptCount val="5"/>
                <c:pt idx="0">
                  <c:v>99.23129999999999</c:v>
                </c:pt>
                <c:pt idx="1">
                  <c:v>496.15649999999999</c:v>
                </c:pt>
                <c:pt idx="2">
                  <c:v>992.31299999999999</c:v>
                </c:pt>
                <c:pt idx="3">
                  <c:v>4961.5649999999996</c:v>
                </c:pt>
                <c:pt idx="4">
                  <c:v>9923.1299999999992</c:v>
                </c:pt>
              </c:numCache>
            </c:numRef>
          </c:yVal>
          <c:smooth val="0"/>
        </c:ser>
        <c:ser>
          <c:idx val="2"/>
          <c:order val="9"/>
          <c:tx>
            <c:strRef>
              <c:f>'STW Graphs'!$E$107</c:f>
              <c:strCache>
                <c:ptCount val="1"/>
                <c:pt idx="0">
                  <c:v>A.  Unmanaged aerobic treatment, Deep Pond</c:v>
                </c:pt>
              </c:strCache>
            </c:strRef>
          </c:tx>
          <c:spPr>
            <a:ln w="25400">
              <a:solidFill>
                <a:srgbClr val="FF660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Graphs'!$E$122:$E$126</c:f>
              <c:numCache>
                <c:formatCode>0</c:formatCode>
                <c:ptCount val="5"/>
                <c:pt idx="0">
                  <c:v>231.9093</c:v>
                </c:pt>
                <c:pt idx="1">
                  <c:v>1159.5464999999999</c:v>
                </c:pt>
                <c:pt idx="2">
                  <c:v>2319.0929999999998</c:v>
                </c:pt>
                <c:pt idx="3">
                  <c:v>11595.465</c:v>
                </c:pt>
                <c:pt idx="4">
                  <c:v>23190.93</c:v>
                </c:pt>
              </c:numCache>
            </c:numRef>
          </c:yVal>
          <c:smooth val="0"/>
        </c:ser>
        <c:ser>
          <c:idx val="6"/>
          <c:order val="10"/>
          <c:tx>
            <c:strRef>
              <c:f>'STW Graphs'!$K$107</c:f>
              <c:strCache>
                <c:ptCount val="1"/>
                <c:pt idx="0">
                  <c:v>C.  Managed aerobic with anaerobic digestor</c:v>
                </c:pt>
              </c:strCache>
            </c:strRef>
          </c:tx>
          <c:spPr>
            <a:ln w="25400">
              <a:solidFill>
                <a:srgbClr val="00808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Graphs'!$K$122:$K$126</c:f>
              <c:numCache>
                <c:formatCode>0</c:formatCode>
                <c:ptCount val="5"/>
                <c:pt idx="0">
                  <c:v>196.52850000000001</c:v>
                </c:pt>
                <c:pt idx="1">
                  <c:v>982.64249999999993</c:v>
                </c:pt>
                <c:pt idx="2">
                  <c:v>1965.2849999999999</c:v>
                </c:pt>
                <c:pt idx="3">
                  <c:v>9826.4249999999993</c:v>
                </c:pt>
                <c:pt idx="4">
                  <c:v>19652.849999999999</c:v>
                </c:pt>
              </c:numCache>
            </c:numRef>
          </c:yVal>
          <c:smooth val="0"/>
        </c:ser>
        <c:ser>
          <c:idx val="8"/>
          <c:order val="11"/>
          <c:tx>
            <c:strRef>
              <c:f>'STW Graphs'!$H$107</c:f>
              <c:strCache>
                <c:ptCount val="1"/>
                <c:pt idx="0">
                  <c:v>B.  Unmanaged aerobic, shallow lagoon</c:v>
                </c:pt>
              </c:strCache>
            </c:strRef>
          </c:tx>
          <c:spPr>
            <a:ln w="25400">
              <a:solidFill>
                <a:srgbClr val="FF0000"/>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Graphs'!$H$122:$H$126</c:f>
              <c:numCache>
                <c:formatCode>0</c:formatCode>
                <c:ptCount val="5"/>
                <c:pt idx="0">
                  <c:v>99.23129999999999</c:v>
                </c:pt>
                <c:pt idx="1">
                  <c:v>496.15649999999999</c:v>
                </c:pt>
                <c:pt idx="2">
                  <c:v>992.31299999999999</c:v>
                </c:pt>
                <c:pt idx="3">
                  <c:v>4961.5649999999996</c:v>
                </c:pt>
                <c:pt idx="4">
                  <c:v>9923.1299999999992</c:v>
                </c:pt>
              </c:numCache>
            </c:numRef>
          </c:yVal>
          <c:smooth val="0"/>
        </c:ser>
        <c:ser>
          <c:idx val="9"/>
          <c:order val="12"/>
          <c:tx>
            <c:strRef>
              <c:f>'STW Graphs'!$N$107</c:f>
              <c:strCache>
                <c:ptCount val="1"/>
                <c:pt idx="0">
                  <c:v>D.  Managed Aerobic and shallow pond &lt;2m</c:v>
                </c:pt>
              </c:strCache>
            </c:strRef>
          </c:tx>
          <c:spPr>
            <a:ln w="25400">
              <a:solidFill>
                <a:srgbClr val="0000FF"/>
              </a:solidFill>
              <a:prstDash val="solid"/>
            </a:ln>
          </c:spPr>
          <c:marker>
            <c:symbol val="none"/>
          </c:marker>
          <c:xVal>
            <c:numRef>
              <c:f>'STW Graphs'!$D$122:$D$126</c:f>
              <c:numCache>
                <c:formatCode>General</c:formatCode>
                <c:ptCount val="5"/>
                <c:pt idx="0">
                  <c:v>73</c:v>
                </c:pt>
                <c:pt idx="1">
                  <c:v>365</c:v>
                </c:pt>
                <c:pt idx="2">
                  <c:v>730</c:v>
                </c:pt>
                <c:pt idx="3">
                  <c:v>3650</c:v>
                </c:pt>
                <c:pt idx="4">
                  <c:v>7300</c:v>
                </c:pt>
              </c:numCache>
            </c:numRef>
          </c:xVal>
          <c:yVal>
            <c:numRef>
              <c:f>'STW Graphs'!$N$122:$N$126</c:f>
              <c:numCache>
                <c:formatCode>0</c:formatCode>
                <c:ptCount val="5"/>
                <c:pt idx="0">
                  <c:v>63.850499999999997</c:v>
                </c:pt>
                <c:pt idx="1">
                  <c:v>319.2525</c:v>
                </c:pt>
                <c:pt idx="2">
                  <c:v>638.505</c:v>
                </c:pt>
                <c:pt idx="3">
                  <c:v>3192.5250000000001</c:v>
                </c:pt>
                <c:pt idx="4">
                  <c:v>6385.05</c:v>
                </c:pt>
              </c:numCache>
            </c:numRef>
          </c:yVal>
          <c:smooth val="0"/>
        </c:ser>
        <c:dLbls>
          <c:showLegendKey val="0"/>
          <c:showVal val="0"/>
          <c:showCatName val="0"/>
          <c:showSerName val="0"/>
          <c:showPercent val="0"/>
          <c:showBubbleSize val="0"/>
        </c:dLbls>
        <c:axId val="182366000"/>
        <c:axId val="182366392"/>
      </c:scatterChart>
      <c:valAx>
        <c:axId val="182366000"/>
        <c:scaling>
          <c:orientation val="minMax"/>
          <c:max val="4000"/>
        </c:scaling>
        <c:delete val="0"/>
        <c:axPos val="b"/>
        <c:title>
          <c:tx>
            <c:rich>
              <a:bodyPr/>
              <a:lstStyle/>
              <a:p>
                <a:pPr>
                  <a:defRPr sz="1200" b="1" i="0" u="none" strike="noStrike" baseline="0">
                    <a:solidFill>
                      <a:srgbClr val="000000"/>
                    </a:solidFill>
                    <a:latin typeface="Arial"/>
                    <a:ea typeface="Arial"/>
                    <a:cs typeface="Arial"/>
                  </a:defRPr>
                </a:pPr>
                <a:r>
                  <a:rPr lang="en-AU"/>
                  <a:t>Volume Treated (ML)</a:t>
                </a:r>
              </a:p>
            </c:rich>
          </c:tx>
          <c:layout>
            <c:manualLayout>
              <c:xMode val="edge"/>
              <c:yMode val="edge"/>
              <c:x val="0.4487566367636881"/>
              <c:y val="0.9440677966101694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2366392"/>
        <c:crosses val="autoZero"/>
        <c:crossBetween val="midCat"/>
        <c:majorUnit val="200"/>
        <c:minorUnit val="100"/>
      </c:valAx>
      <c:valAx>
        <c:axId val="182366392"/>
        <c:scaling>
          <c:orientation val="minMax"/>
          <c:max val="200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AU"/>
                  <a:t>Emissions (Tonnes CO2 equivalent)</a:t>
                </a:r>
              </a:p>
            </c:rich>
          </c:tx>
          <c:layout>
            <c:manualLayout>
              <c:xMode val="edge"/>
              <c:yMode val="edge"/>
              <c:x val="4.9751243781094526E-3"/>
              <c:y val="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2366000"/>
        <c:crosses val="autoZero"/>
        <c:crossBetween val="midCat"/>
        <c:majorUnit val="200"/>
      </c:valAx>
      <c:spPr>
        <a:solidFill>
          <a:srgbClr val="FFFFFF"/>
        </a:solidFill>
        <a:ln w="3175">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257175</xdr:colOff>
      <xdr:row>9</xdr:row>
      <xdr:rowOff>180975</xdr:rowOff>
    </xdr:from>
    <xdr:to>
      <xdr:col>14</xdr:col>
      <xdr:colOff>285750</xdr:colOff>
      <xdr:row>44</xdr:row>
      <xdr:rowOff>76200</xdr:rowOff>
    </xdr:to>
    <xdr:graphicFrame macro="">
      <xdr:nvGraphicFramePr>
        <xdr:cNvPr id="51543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333375</xdr:colOff>
      <xdr:row>47</xdr:row>
      <xdr:rowOff>104775</xdr:rowOff>
    </xdr:from>
    <xdr:to>
      <xdr:col>14</xdr:col>
      <xdr:colOff>266700</xdr:colOff>
      <xdr:row>82</xdr:row>
      <xdr:rowOff>28575</xdr:rowOff>
    </xdr:to>
    <xdr:graphicFrame macro="">
      <xdr:nvGraphicFramePr>
        <xdr:cNvPr id="51543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527050</xdr:colOff>
      <xdr:row>16</xdr:row>
      <xdr:rowOff>3175</xdr:rowOff>
    </xdr:from>
    <xdr:to>
      <xdr:col>4</xdr:col>
      <xdr:colOff>708025</xdr:colOff>
      <xdr:row>19</xdr:row>
      <xdr:rowOff>130175</xdr:rowOff>
    </xdr:to>
    <xdr:sp macro="" textlink="">
      <xdr:nvSpPr>
        <xdr:cNvPr id="2058" name="AutoShape 10"/>
        <xdr:cNvSpPr>
          <a:spLocks/>
        </xdr:cNvSpPr>
      </xdr:nvSpPr>
      <xdr:spPr bwMode="auto">
        <a:xfrm>
          <a:off x="2889250" y="3330575"/>
          <a:ext cx="1133475" cy="622300"/>
        </a:xfrm>
        <a:prstGeom prst="borderCallout2">
          <a:avLst>
            <a:gd name="adj1" fmla="val 18750"/>
            <a:gd name="adj2" fmla="val -6722"/>
            <a:gd name="adj3" fmla="val 18750"/>
            <a:gd name="adj4" fmla="val -14287"/>
            <a:gd name="adj5" fmla="val 7815"/>
            <a:gd name="adj6" fmla="val -2352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7432" rIns="0" bIns="0" anchor="t" upright="1"/>
        <a:lstStyle/>
        <a:p>
          <a:pPr algn="l" rtl="0">
            <a:defRPr sz="1000"/>
          </a:pPr>
          <a:r>
            <a:rPr lang="en-AU" sz="900" b="0" i="0" u="none" strike="noStrike" baseline="0">
              <a:solidFill>
                <a:srgbClr val="000000"/>
              </a:solidFill>
              <a:latin typeface="Arial Narrow"/>
            </a:rPr>
            <a:t>A.  Unmanaged aerobic treatment, Anaerobic deep Pond &gt;2m deep</a:t>
          </a:r>
        </a:p>
      </xdr:txBody>
    </xdr:sp>
    <xdr:clientData/>
  </xdr:twoCellAnchor>
  <xdr:twoCellAnchor>
    <xdr:from>
      <xdr:col>8</xdr:col>
      <xdr:colOff>263525</xdr:colOff>
      <xdr:row>21</xdr:row>
      <xdr:rowOff>88900</xdr:rowOff>
    </xdr:from>
    <xdr:to>
      <xdr:col>10</xdr:col>
      <xdr:colOff>482600</xdr:colOff>
      <xdr:row>23</xdr:row>
      <xdr:rowOff>88900</xdr:rowOff>
    </xdr:to>
    <xdr:sp macro="" textlink="">
      <xdr:nvSpPr>
        <xdr:cNvPr id="2060" name="AutoShape 12"/>
        <xdr:cNvSpPr>
          <a:spLocks/>
        </xdr:cNvSpPr>
      </xdr:nvSpPr>
      <xdr:spPr bwMode="auto">
        <a:xfrm>
          <a:off x="6435725" y="4241800"/>
          <a:ext cx="1654175" cy="330200"/>
        </a:xfrm>
        <a:prstGeom prst="borderCallout2">
          <a:avLst>
            <a:gd name="adj1" fmla="val 35296"/>
            <a:gd name="adj2" fmla="val -4597"/>
            <a:gd name="adj3" fmla="val 35296"/>
            <a:gd name="adj4" fmla="val -70690"/>
            <a:gd name="adj5" fmla="val -182352"/>
            <a:gd name="adj6" fmla="val -11609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AU" sz="900" b="0" i="0" u="none" strike="noStrike" baseline="0">
              <a:solidFill>
                <a:srgbClr val="000000"/>
              </a:solidFill>
              <a:latin typeface="Arial Narrow"/>
            </a:rPr>
            <a:t>B.  Unmanaged aerobic treatment shallow lagoon</a:t>
          </a:r>
        </a:p>
      </xdr:txBody>
    </xdr:sp>
    <xdr:clientData/>
  </xdr:twoCellAnchor>
  <xdr:twoCellAnchor>
    <xdr:from>
      <xdr:col>3</xdr:col>
      <xdr:colOff>803275</xdr:colOff>
      <xdr:row>22</xdr:row>
      <xdr:rowOff>114300</xdr:rowOff>
    </xdr:from>
    <xdr:to>
      <xdr:col>5</xdr:col>
      <xdr:colOff>558800</xdr:colOff>
      <xdr:row>25</xdr:row>
      <xdr:rowOff>155575</xdr:rowOff>
    </xdr:to>
    <xdr:sp macro="" textlink="">
      <xdr:nvSpPr>
        <xdr:cNvPr id="2061" name="AutoShape 13"/>
        <xdr:cNvSpPr>
          <a:spLocks/>
        </xdr:cNvSpPr>
      </xdr:nvSpPr>
      <xdr:spPr bwMode="auto">
        <a:xfrm>
          <a:off x="3165475" y="4432300"/>
          <a:ext cx="1635125" cy="536575"/>
        </a:xfrm>
        <a:prstGeom prst="borderCallout2">
          <a:avLst>
            <a:gd name="adj1" fmla="val 21819"/>
            <a:gd name="adj2" fmla="val -4681"/>
            <a:gd name="adj3" fmla="val 21819"/>
            <a:gd name="adj4" fmla="val -26315"/>
            <a:gd name="adj5" fmla="val -25454"/>
            <a:gd name="adj6" fmla="val -4444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AU" sz="900" b="0" i="0" u="none" strike="noStrike" baseline="0">
              <a:solidFill>
                <a:srgbClr val="000000"/>
              </a:solidFill>
              <a:latin typeface="Arial Narrow"/>
            </a:rPr>
            <a:t>C.  Managed aerobic treatment anaerobic digester</a:t>
          </a:r>
        </a:p>
      </xdr:txBody>
    </xdr:sp>
    <xdr:clientData/>
  </xdr:twoCellAnchor>
  <xdr:twoCellAnchor>
    <xdr:from>
      <xdr:col>6</xdr:col>
      <xdr:colOff>180975</xdr:colOff>
      <xdr:row>64</xdr:row>
      <xdr:rowOff>15875</xdr:rowOff>
    </xdr:from>
    <xdr:to>
      <xdr:col>8</xdr:col>
      <xdr:colOff>755650</xdr:colOff>
      <xdr:row>68</xdr:row>
      <xdr:rowOff>139700</xdr:rowOff>
    </xdr:to>
    <xdr:sp macro="" textlink="">
      <xdr:nvSpPr>
        <xdr:cNvPr id="2062" name="AutoShape 14"/>
        <xdr:cNvSpPr>
          <a:spLocks/>
        </xdr:cNvSpPr>
      </xdr:nvSpPr>
      <xdr:spPr bwMode="auto">
        <a:xfrm>
          <a:off x="5133975" y="11382375"/>
          <a:ext cx="1793875" cy="784225"/>
        </a:xfrm>
        <a:prstGeom prst="borderCallout2">
          <a:avLst>
            <a:gd name="adj1" fmla="val 13042"/>
            <a:gd name="adj2" fmla="val -4231"/>
            <a:gd name="adj3" fmla="val 13042"/>
            <a:gd name="adj4" fmla="val -23282"/>
            <a:gd name="adj5" fmla="val -28259"/>
            <a:gd name="adj6" fmla="val -3968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AU" sz="900" b="0" i="0" u="none" strike="noStrike" baseline="0">
              <a:solidFill>
                <a:srgbClr val="000000"/>
              </a:solidFill>
              <a:latin typeface="Arial Narrow"/>
            </a:rPr>
            <a:t>D.  Managed Aerobic treatment, </a:t>
          </a:r>
        </a:p>
        <a:p>
          <a:pPr algn="l" rtl="0">
            <a:defRPr sz="1000"/>
          </a:pPr>
          <a:r>
            <a:rPr lang="en-AU" sz="900" b="0" i="0" u="none" strike="noStrike" baseline="0">
              <a:solidFill>
                <a:srgbClr val="000000"/>
              </a:solidFill>
              <a:latin typeface="Arial Narrow"/>
            </a:rPr>
            <a:t>Conventional activated sludge, </a:t>
          </a:r>
        </a:p>
        <a:p>
          <a:pPr algn="l" rtl="0">
            <a:defRPr sz="1000"/>
          </a:pPr>
          <a:r>
            <a:rPr lang="en-AU" sz="900" b="0" i="0" u="none" strike="noStrike" baseline="0">
              <a:solidFill>
                <a:srgbClr val="000000"/>
              </a:solidFill>
              <a:latin typeface="Arial Narrow"/>
            </a:rPr>
            <a:t>Continuous extended aeration,</a:t>
          </a:r>
        </a:p>
        <a:p>
          <a:pPr algn="l" rtl="0">
            <a:defRPr sz="1000"/>
          </a:pPr>
          <a:r>
            <a:rPr lang="en-AU" sz="900" b="0" i="0" u="none" strike="noStrike" baseline="0">
              <a:solidFill>
                <a:srgbClr val="000000"/>
              </a:solidFill>
              <a:latin typeface="Arial Narrow"/>
            </a:rPr>
            <a:t>Intermittant extended aeration, Trickling Filters and Shallow anaerobic pond</a:t>
          </a:r>
        </a:p>
      </xdr:txBody>
    </xdr:sp>
    <xdr:clientData/>
  </xdr:twoCellAnchor>
  <xdr:twoCellAnchor>
    <xdr:from>
      <xdr:col>3</xdr:col>
      <xdr:colOff>508000</xdr:colOff>
      <xdr:row>70</xdr:row>
      <xdr:rowOff>12700</xdr:rowOff>
    </xdr:from>
    <xdr:to>
      <xdr:col>5</xdr:col>
      <xdr:colOff>266700</xdr:colOff>
      <xdr:row>73</xdr:row>
      <xdr:rowOff>53975</xdr:rowOff>
    </xdr:to>
    <xdr:sp macro="" textlink="">
      <xdr:nvSpPr>
        <xdr:cNvPr id="2063" name="AutoShape 15"/>
        <xdr:cNvSpPr>
          <a:spLocks/>
        </xdr:cNvSpPr>
      </xdr:nvSpPr>
      <xdr:spPr bwMode="auto">
        <a:xfrm>
          <a:off x="2870200" y="12369800"/>
          <a:ext cx="1638300" cy="536575"/>
        </a:xfrm>
        <a:prstGeom prst="borderCallout2">
          <a:avLst>
            <a:gd name="adj1" fmla="val 21819"/>
            <a:gd name="adj2" fmla="val -4681"/>
            <a:gd name="adj3" fmla="val 21819"/>
            <a:gd name="adj4" fmla="val -39764"/>
            <a:gd name="adj5" fmla="val -45454"/>
            <a:gd name="adj6" fmla="val -6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AU" sz="900" b="0" i="0" u="none" strike="noStrike" baseline="0">
              <a:solidFill>
                <a:srgbClr val="000000"/>
              </a:solidFill>
              <a:latin typeface="Arial Narrow"/>
            </a:rPr>
            <a:t>C. Managed aerobic treatment anaerobic digester</a:t>
          </a:r>
        </a:p>
      </xdr:txBody>
    </xdr:sp>
    <xdr:clientData/>
  </xdr:twoCellAnchor>
  <xdr:twoCellAnchor>
    <xdr:from>
      <xdr:col>6</xdr:col>
      <xdr:colOff>434975</xdr:colOff>
      <xdr:row>57</xdr:row>
      <xdr:rowOff>66675</xdr:rowOff>
    </xdr:from>
    <xdr:to>
      <xdr:col>9</xdr:col>
      <xdr:colOff>41275</xdr:colOff>
      <xdr:row>59</xdr:row>
      <xdr:rowOff>66675</xdr:rowOff>
    </xdr:to>
    <xdr:sp macro="" textlink="">
      <xdr:nvSpPr>
        <xdr:cNvPr id="2064" name="AutoShape 16"/>
        <xdr:cNvSpPr>
          <a:spLocks/>
        </xdr:cNvSpPr>
      </xdr:nvSpPr>
      <xdr:spPr bwMode="auto">
        <a:xfrm>
          <a:off x="5387975" y="10277475"/>
          <a:ext cx="1663700" cy="330200"/>
        </a:xfrm>
        <a:prstGeom prst="borderCallout2">
          <a:avLst>
            <a:gd name="adj1" fmla="val 35296"/>
            <a:gd name="adj2" fmla="val -4597"/>
            <a:gd name="adj3" fmla="val 35296"/>
            <a:gd name="adj4" fmla="val -44255"/>
            <a:gd name="adj5" fmla="val -85296"/>
            <a:gd name="adj6" fmla="val -77009"/>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AU" sz="900" b="0" i="0" u="none" strike="noStrike" baseline="0">
              <a:solidFill>
                <a:srgbClr val="000000"/>
              </a:solidFill>
              <a:latin typeface="Arial Narrow"/>
            </a:rPr>
            <a:t>B.  Unmanaged aerobic treatment shallow lagoon</a:t>
          </a:r>
        </a:p>
      </xdr:txBody>
    </xdr:sp>
    <xdr:clientData/>
  </xdr:twoCellAnchor>
  <xdr:twoCellAnchor>
    <xdr:from>
      <xdr:col>3</xdr:col>
      <xdr:colOff>254000</xdr:colOff>
      <xdr:row>55</xdr:row>
      <xdr:rowOff>63500</xdr:rowOff>
    </xdr:from>
    <xdr:to>
      <xdr:col>4</xdr:col>
      <xdr:colOff>434975</xdr:colOff>
      <xdr:row>59</xdr:row>
      <xdr:rowOff>25400</xdr:rowOff>
    </xdr:to>
    <xdr:sp macro="" textlink="">
      <xdr:nvSpPr>
        <xdr:cNvPr id="2065" name="AutoShape 17"/>
        <xdr:cNvSpPr>
          <a:spLocks/>
        </xdr:cNvSpPr>
      </xdr:nvSpPr>
      <xdr:spPr bwMode="auto">
        <a:xfrm>
          <a:off x="2616200" y="9944100"/>
          <a:ext cx="1133475" cy="622300"/>
        </a:xfrm>
        <a:prstGeom prst="borderCallout2">
          <a:avLst>
            <a:gd name="adj1" fmla="val 18750"/>
            <a:gd name="adj2" fmla="val -6722"/>
            <a:gd name="adj3" fmla="val 18750"/>
            <a:gd name="adj4" fmla="val -13444"/>
            <a:gd name="adj5" fmla="val -1565"/>
            <a:gd name="adj6" fmla="val -201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AU" sz="900" b="0" i="0" u="none" strike="noStrike" baseline="0">
              <a:solidFill>
                <a:srgbClr val="000000"/>
              </a:solidFill>
              <a:latin typeface="Arial Narrow"/>
            </a:rPr>
            <a:t>A.  Unmanaged aerobic treatment, Anaerobic deep Pond &gt;2m deep</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0.42672</cdr:x>
      <cdr:y>0.61232</cdr:y>
    </cdr:from>
    <cdr:to>
      <cdr:x>0.61237</cdr:x>
      <cdr:y>0.76445</cdr:y>
    </cdr:to>
    <cdr:sp macro="" textlink="">
      <cdr:nvSpPr>
        <cdr:cNvPr id="3080" name="AutoShape 8"/>
        <cdr:cNvSpPr>
          <a:spLocks xmlns:a="http://schemas.openxmlformats.org/drawingml/2006/main"/>
        </cdr:cNvSpPr>
      </cdr:nvSpPr>
      <cdr:spPr bwMode="auto">
        <a:xfrm xmlns:a="http://schemas.openxmlformats.org/drawingml/2006/main">
          <a:off x="4130907" y="3505259"/>
          <a:ext cx="1797199" cy="870872"/>
        </a:xfrm>
        <a:prstGeom xmlns:a="http://schemas.openxmlformats.org/drawingml/2006/main" prst="borderCallout2">
          <a:avLst>
            <a:gd name="adj1" fmla="val 12995"/>
            <a:gd name="adj2" fmla="val -4231"/>
            <a:gd name="adj3" fmla="val 12995"/>
            <a:gd name="adj4" fmla="val -24894"/>
            <a:gd name="adj5" fmla="val -23190"/>
            <a:gd name="adj6" fmla="val -42255"/>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n-AU" sz="900" b="0" i="0" u="none" strike="noStrike" baseline="0">
              <a:solidFill>
                <a:srgbClr val="000000"/>
              </a:solidFill>
              <a:latin typeface="Arial Narrow"/>
            </a:rPr>
            <a:t>D.  Managed Aerobic treatment, </a:t>
          </a:r>
        </a:p>
        <a:p xmlns:a="http://schemas.openxmlformats.org/drawingml/2006/main">
          <a:pPr algn="l" rtl="0">
            <a:defRPr sz="1000"/>
          </a:pPr>
          <a:r>
            <a:rPr lang="en-AU" sz="900" b="0" i="0" u="none" strike="noStrike" baseline="0">
              <a:solidFill>
                <a:srgbClr val="000000"/>
              </a:solidFill>
              <a:latin typeface="Arial Narrow"/>
            </a:rPr>
            <a:t>Conventional activated sludge, </a:t>
          </a:r>
        </a:p>
        <a:p xmlns:a="http://schemas.openxmlformats.org/drawingml/2006/main">
          <a:pPr algn="l" rtl="0">
            <a:defRPr sz="1000"/>
          </a:pPr>
          <a:r>
            <a:rPr lang="en-AU" sz="900" b="0" i="0" u="none" strike="noStrike" baseline="0">
              <a:solidFill>
                <a:srgbClr val="000000"/>
              </a:solidFill>
              <a:latin typeface="Arial Narrow"/>
            </a:rPr>
            <a:t>Continuous extended aeration,</a:t>
          </a:r>
        </a:p>
        <a:p xmlns:a="http://schemas.openxmlformats.org/drawingml/2006/main">
          <a:pPr algn="l" rtl="0">
            <a:defRPr sz="1000"/>
          </a:pPr>
          <a:r>
            <a:rPr lang="en-AU" sz="900" b="0" i="0" u="none" strike="noStrike" baseline="0">
              <a:solidFill>
                <a:srgbClr val="000000"/>
              </a:solidFill>
              <a:latin typeface="Arial Narrow"/>
            </a:rPr>
            <a:t>Intermittant extended aeration, Trickling Filters and shallow anaerobic lagoon</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vironment.gov.au/climate-change/climate-science-data/greenhouse-gas-measurement/publications/national-greenhouse-accounts-factors-july-201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4"/>
    <pageSetUpPr fitToPage="1"/>
  </sheetPr>
  <dimension ref="A1:Q25"/>
  <sheetViews>
    <sheetView tabSelected="1" view="pageBreakPreview" zoomScaleNormal="100" workbookViewId="0">
      <selection activeCell="M4" sqref="M4"/>
    </sheetView>
  </sheetViews>
  <sheetFormatPr defaultColWidth="9.109375" defaultRowHeight="13.8" x14ac:dyDescent="0.3"/>
  <cols>
    <col min="1" max="1" width="3" style="28" customWidth="1"/>
    <col min="2" max="2" width="11" style="28" customWidth="1"/>
    <col min="3" max="3" width="32.33203125" style="28" customWidth="1"/>
    <col min="4" max="4" width="6" style="3" customWidth="1"/>
    <col min="5" max="5" width="5.109375" style="3" customWidth="1"/>
    <col min="6" max="6" width="6.44140625" style="3" customWidth="1"/>
    <col min="7" max="7" width="6.6640625" style="3" customWidth="1"/>
    <col min="8" max="8" width="6.5546875" style="3" customWidth="1"/>
    <col min="9" max="9" width="9.109375" style="3"/>
    <col min="10" max="10" width="6" style="3" customWidth="1"/>
    <col min="11" max="11" width="9.109375" style="3"/>
    <col min="12" max="12" width="5" style="3" customWidth="1"/>
    <col min="13" max="13" width="4.5546875" style="3" customWidth="1"/>
    <col min="14" max="14" width="6" style="3" customWidth="1"/>
    <col min="15" max="15" width="5.44140625" style="3" customWidth="1"/>
    <col min="16" max="16" width="5.33203125" style="3" customWidth="1"/>
    <col min="17" max="17" width="5" style="3" customWidth="1"/>
    <col min="18" max="16384" width="9.109375" style="3"/>
  </cols>
  <sheetData>
    <row r="1" spans="1:12" ht="15.75" customHeight="1" x14ac:dyDescent="0.35">
      <c r="A1" s="153" t="s">
        <v>281</v>
      </c>
      <c r="D1" s="28" t="s">
        <v>562</v>
      </c>
    </row>
    <row r="2" spans="1:12" ht="20.25" customHeight="1" x14ac:dyDescent="0.3">
      <c r="A2" s="22"/>
      <c r="B2" s="22"/>
      <c r="C2" s="22"/>
    </row>
    <row r="3" spans="1:12" ht="18" x14ac:dyDescent="0.35">
      <c r="A3" s="8" t="s">
        <v>207</v>
      </c>
      <c r="B3" s="22"/>
      <c r="C3" s="22"/>
    </row>
    <row r="5" spans="1:12" ht="48.75" customHeight="1" x14ac:dyDescent="0.3">
      <c r="B5" s="672" t="s">
        <v>26</v>
      </c>
      <c r="C5" s="672"/>
      <c r="D5" s="672"/>
      <c r="E5" s="672"/>
      <c r="F5" s="672"/>
      <c r="G5" s="672"/>
      <c r="H5" s="672"/>
      <c r="I5" s="672"/>
      <c r="J5" s="672"/>
      <c r="K5" s="672"/>
      <c r="L5" s="672"/>
    </row>
    <row r="6" spans="1:12" ht="31.5" customHeight="1" x14ac:dyDescent="0.3">
      <c r="B6" s="672" t="s">
        <v>282</v>
      </c>
      <c r="C6" s="672"/>
      <c r="D6" s="672"/>
      <c r="E6" s="672"/>
      <c r="F6" s="672"/>
      <c r="G6" s="672"/>
      <c r="H6" s="672"/>
      <c r="I6" s="672"/>
      <c r="J6" s="672"/>
      <c r="K6" s="672"/>
      <c r="L6" s="672"/>
    </row>
    <row r="7" spans="1:12" ht="15.6" x14ac:dyDescent="0.3">
      <c r="B7" s="170"/>
      <c r="C7" s="22"/>
      <c r="D7" s="170"/>
      <c r="E7" s="170"/>
      <c r="F7" s="170"/>
      <c r="G7" s="170"/>
      <c r="H7" s="170"/>
      <c r="I7" s="170"/>
      <c r="J7" s="170"/>
      <c r="K7" s="170"/>
      <c r="L7" s="170"/>
    </row>
    <row r="8" spans="1:12" ht="66" customHeight="1" x14ac:dyDescent="0.3">
      <c r="B8" s="672" t="s">
        <v>566</v>
      </c>
      <c r="C8" s="672"/>
      <c r="D8" s="672"/>
      <c r="E8" s="672"/>
      <c r="F8" s="672"/>
      <c r="G8" s="672"/>
      <c r="H8" s="672"/>
      <c r="I8" s="672"/>
      <c r="J8" s="672"/>
      <c r="K8" s="672"/>
      <c r="L8" s="672"/>
    </row>
    <row r="9" spans="1:12" ht="24.75" customHeight="1" x14ac:dyDescent="0.3">
      <c r="B9" s="671" t="s">
        <v>561</v>
      </c>
      <c r="C9" s="671"/>
      <c r="D9" s="671"/>
      <c r="E9" s="671"/>
      <c r="F9" s="671"/>
      <c r="G9" s="671"/>
      <c r="H9" s="671"/>
      <c r="I9" s="671"/>
      <c r="J9" s="671"/>
      <c r="K9" s="671"/>
      <c r="L9" s="671"/>
    </row>
    <row r="10" spans="1:12" ht="48.75" customHeight="1" x14ac:dyDescent="0.3">
      <c r="B10" s="672" t="s">
        <v>25</v>
      </c>
      <c r="C10" s="672"/>
      <c r="D10" s="672"/>
      <c r="E10" s="672"/>
      <c r="F10" s="672"/>
      <c r="G10" s="672"/>
      <c r="H10" s="672"/>
      <c r="I10" s="672"/>
      <c r="J10" s="672"/>
      <c r="K10" s="672"/>
      <c r="L10" s="672"/>
    </row>
    <row r="11" spans="1:12" ht="15.6" x14ac:dyDescent="0.3">
      <c r="B11" s="170"/>
      <c r="C11" s="22"/>
      <c r="D11" s="170"/>
      <c r="E11" s="170"/>
      <c r="F11" s="170"/>
      <c r="G11" s="170"/>
      <c r="H11" s="170"/>
      <c r="I11" s="170"/>
      <c r="J11" s="170"/>
      <c r="K11" s="170"/>
      <c r="L11" s="170"/>
    </row>
    <row r="12" spans="1:12" ht="48.75" customHeight="1" x14ac:dyDescent="0.3">
      <c r="B12" s="672" t="s">
        <v>563</v>
      </c>
      <c r="C12" s="672"/>
      <c r="D12" s="672"/>
      <c r="E12" s="672"/>
      <c r="F12" s="672"/>
      <c r="G12" s="672"/>
      <c r="H12" s="672"/>
      <c r="I12" s="672"/>
      <c r="J12" s="672"/>
      <c r="K12" s="672"/>
      <c r="L12" s="672"/>
    </row>
    <row r="13" spans="1:12" ht="31.5" customHeight="1" x14ac:dyDescent="0.3">
      <c r="B13" s="672" t="s">
        <v>565</v>
      </c>
      <c r="C13" s="672"/>
      <c r="D13" s="672"/>
      <c r="E13" s="672"/>
      <c r="F13" s="672"/>
      <c r="G13" s="672"/>
      <c r="H13" s="672"/>
      <c r="I13" s="672"/>
      <c r="J13" s="672"/>
      <c r="K13" s="672"/>
      <c r="L13" s="672"/>
    </row>
    <row r="14" spans="1:12" ht="15.6" x14ac:dyDescent="0.3">
      <c r="B14" s="170" t="s">
        <v>19</v>
      </c>
      <c r="C14" s="22"/>
      <c r="D14" s="170"/>
      <c r="E14" s="170"/>
      <c r="F14" s="170"/>
      <c r="G14" s="170"/>
      <c r="H14" s="170"/>
      <c r="I14" s="170"/>
      <c r="J14" s="170"/>
      <c r="K14" s="170"/>
      <c r="L14" s="170"/>
    </row>
    <row r="15" spans="1:12" ht="15.6" x14ac:dyDescent="0.3">
      <c r="B15" s="672" t="s">
        <v>283</v>
      </c>
      <c r="C15" s="672"/>
      <c r="D15" s="672"/>
      <c r="E15" s="672"/>
      <c r="F15" s="672"/>
      <c r="G15" s="672"/>
      <c r="H15" s="672"/>
      <c r="I15" s="672"/>
      <c r="J15" s="672"/>
      <c r="K15" s="672"/>
      <c r="L15" s="672"/>
    </row>
    <row r="16" spans="1:12" ht="15.6" x14ac:dyDescent="0.3">
      <c r="B16" s="170"/>
      <c r="C16" s="22"/>
      <c r="D16" s="170"/>
      <c r="E16" s="170"/>
      <c r="F16" s="170"/>
      <c r="G16" s="170"/>
      <c r="H16" s="170"/>
      <c r="I16" s="170"/>
      <c r="J16" s="170"/>
      <c r="K16" s="170"/>
      <c r="L16" s="170"/>
    </row>
    <row r="17" spans="1:17" ht="30.75" customHeight="1" x14ac:dyDescent="0.3">
      <c r="B17" s="672" t="s">
        <v>212</v>
      </c>
      <c r="C17" s="672"/>
      <c r="D17" s="672"/>
      <c r="E17" s="672"/>
      <c r="F17" s="672"/>
      <c r="G17" s="672"/>
      <c r="H17" s="672"/>
      <c r="I17" s="672"/>
      <c r="J17" s="672"/>
      <c r="K17" s="672"/>
      <c r="L17" s="672"/>
    </row>
    <row r="18" spans="1:17" ht="15.6" x14ac:dyDescent="0.3">
      <c r="B18" s="170"/>
      <c r="C18" s="22"/>
      <c r="D18" s="170"/>
      <c r="E18" s="170"/>
      <c r="F18" s="170"/>
      <c r="G18" s="170"/>
      <c r="H18" s="170"/>
      <c r="I18" s="170"/>
      <c r="J18" s="170"/>
      <c r="K18" s="170"/>
      <c r="L18" s="170"/>
    </row>
    <row r="19" spans="1:17" ht="15.6" x14ac:dyDescent="0.3">
      <c r="A19" s="42"/>
      <c r="B19" s="173" t="s">
        <v>142</v>
      </c>
      <c r="C19" s="174" t="s">
        <v>24</v>
      </c>
      <c r="D19" s="175"/>
      <c r="E19" s="175"/>
      <c r="F19" s="175"/>
      <c r="G19" s="175"/>
      <c r="H19" s="175"/>
      <c r="I19" s="175"/>
      <c r="J19" s="175"/>
      <c r="K19" s="175"/>
      <c r="L19" s="175"/>
      <c r="M19" s="24"/>
      <c r="N19" s="24"/>
      <c r="O19" s="24"/>
      <c r="P19" s="24"/>
      <c r="Q19" s="25"/>
    </row>
    <row r="20" spans="1:17" ht="15.6" x14ac:dyDescent="0.3">
      <c r="A20" s="41"/>
      <c r="B20" s="173" t="s">
        <v>20</v>
      </c>
      <c r="C20" s="89" t="s">
        <v>38</v>
      </c>
      <c r="D20" s="41"/>
      <c r="E20" s="41"/>
      <c r="F20" s="41"/>
      <c r="G20" s="41"/>
      <c r="H20" s="41"/>
      <c r="I20" s="41"/>
      <c r="J20" s="41"/>
      <c r="K20" s="41"/>
      <c r="L20" s="41"/>
      <c r="M20" s="27"/>
      <c r="N20" s="27"/>
      <c r="O20" s="27"/>
      <c r="P20" s="27"/>
      <c r="Q20" s="25"/>
    </row>
    <row r="21" spans="1:17" ht="15.75" customHeight="1" x14ac:dyDescent="0.3">
      <c r="A21" s="26"/>
      <c r="B21" s="176" t="s">
        <v>143</v>
      </c>
      <c r="C21" s="89" t="s">
        <v>22</v>
      </c>
      <c r="D21" s="41"/>
      <c r="E21" s="41"/>
      <c r="F21" s="41"/>
      <c r="G21" s="41"/>
      <c r="H21" s="41"/>
      <c r="I21" s="41"/>
      <c r="J21" s="41"/>
      <c r="K21" s="41"/>
      <c r="L21" s="41"/>
      <c r="M21" s="27"/>
      <c r="N21" s="27"/>
      <c r="O21" s="27"/>
      <c r="P21" s="27"/>
      <c r="Q21" s="25"/>
    </row>
    <row r="22" spans="1:17" ht="15.75" customHeight="1" x14ac:dyDescent="0.3">
      <c r="A22" s="26"/>
      <c r="B22" s="176" t="s">
        <v>21</v>
      </c>
      <c r="C22" s="89" t="s">
        <v>23</v>
      </c>
      <c r="D22" s="41"/>
      <c r="E22" s="41"/>
      <c r="F22" s="41"/>
      <c r="G22" s="41"/>
      <c r="H22" s="41"/>
      <c r="I22" s="41"/>
      <c r="J22" s="41"/>
      <c r="K22" s="41"/>
      <c r="L22" s="41"/>
      <c r="M22" s="27"/>
      <c r="N22" s="27"/>
      <c r="O22" s="27"/>
      <c r="P22" s="27"/>
      <c r="Q22" s="25"/>
    </row>
    <row r="23" spans="1:17" ht="12.75" customHeight="1" x14ac:dyDescent="0.3">
      <c r="A23" s="26"/>
      <c r="B23" s="176"/>
      <c r="C23" s="89"/>
      <c r="D23" s="41"/>
      <c r="E23" s="41"/>
      <c r="F23" s="41"/>
      <c r="G23" s="41"/>
      <c r="H23" s="41"/>
      <c r="I23" s="41"/>
      <c r="J23" s="41"/>
      <c r="K23" s="41"/>
      <c r="L23" s="41"/>
      <c r="M23" s="27"/>
      <c r="N23" s="27"/>
      <c r="O23" s="27"/>
      <c r="P23" s="27"/>
      <c r="Q23" s="25"/>
    </row>
    <row r="24" spans="1:17" ht="15.75" customHeight="1" x14ac:dyDescent="0.3">
      <c r="A24" s="26"/>
      <c r="B24" s="89" t="s">
        <v>375</v>
      </c>
      <c r="C24" s="89"/>
      <c r="D24" s="41"/>
      <c r="E24" s="41"/>
      <c r="F24" s="41"/>
      <c r="G24" s="41"/>
      <c r="H24" s="41"/>
      <c r="I24" s="41"/>
      <c r="J24" s="41"/>
      <c r="K24" s="41"/>
      <c r="L24" s="41"/>
      <c r="M24" s="27"/>
      <c r="N24" s="27"/>
      <c r="O24" s="27"/>
      <c r="P24" s="27"/>
      <c r="Q24" s="25"/>
    </row>
    <row r="25" spans="1:17" ht="12.75" customHeight="1" x14ac:dyDescent="0.3">
      <c r="A25" s="26"/>
      <c r="B25" s="89"/>
      <c r="C25" s="41"/>
      <c r="D25" s="41"/>
      <c r="E25" s="41"/>
      <c r="F25" s="41"/>
      <c r="G25" s="41"/>
      <c r="H25" s="41"/>
      <c r="I25" s="41"/>
      <c r="J25" s="41"/>
      <c r="K25" s="41"/>
      <c r="L25" s="41"/>
      <c r="M25" s="27"/>
      <c r="N25" s="27"/>
      <c r="O25" s="27"/>
      <c r="P25" s="27"/>
      <c r="Q25" s="25"/>
    </row>
  </sheetData>
  <sheetProtection password="D286" sheet="1" objects="1" scenarios="1"/>
  <mergeCells count="9">
    <mergeCell ref="B9:L9"/>
    <mergeCell ref="B5:L5"/>
    <mergeCell ref="B6:L6"/>
    <mergeCell ref="B8:L8"/>
    <mergeCell ref="B17:L17"/>
    <mergeCell ref="B10:L10"/>
    <mergeCell ref="B12:L12"/>
    <mergeCell ref="B13:L13"/>
    <mergeCell ref="B15:L15"/>
  </mergeCells>
  <phoneticPr fontId="2" type="noConversion"/>
  <hyperlinks>
    <hyperlink ref="B9" r:id="rId1"/>
  </hyperlinks>
  <pageMargins left="0.39370078740157483" right="0.16" top="0.62992125984251968" bottom="0.98425196850393704" header="0.51181102362204722" footer="0.51181102362204722"/>
  <pageSetup paperSize="9" scale="90" fitToHeight="0" orientation="portrait" r:id="rId2"/>
  <headerFooter alignWithMargins="0">
    <oddFooter>&amp;COverview</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topLeftCell="A3" zoomScaleNormal="100" workbookViewId="0">
      <selection activeCell="C3" sqref="C3:N3"/>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499</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zoomScaleNormal="100" workbookViewId="0">
      <selection activeCell="L16" sqref="L16"/>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499</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zoomScaleNormal="100" workbookViewId="0">
      <selection activeCell="L14" sqref="L14"/>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499</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zoomScaleNormal="100" workbookViewId="0">
      <selection activeCell="L16" sqref="L16"/>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499</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zoomScaleNormal="100" workbookViewId="0">
      <selection activeCell="L16" sqref="L16"/>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499</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zoomScaleNormal="100" workbookViewId="0">
      <selection activeCell="L14" sqref="L14"/>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499</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zoomScaleNormal="100" workbookViewId="0">
      <selection activeCell="L14" sqref="L14"/>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499</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zoomScaleNormal="100" workbookViewId="0">
      <selection activeCell="L16" sqref="L16"/>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499</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zoomScaleNormal="100" workbookViewId="0">
      <selection activeCell="L14" sqref="L14"/>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499</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4"/>
    <pageSetUpPr fitToPage="1"/>
  </sheetPr>
  <dimension ref="A1:Q36"/>
  <sheetViews>
    <sheetView view="pageBreakPreview" zoomScaleNormal="100" workbookViewId="0">
      <selection activeCell="F34" sqref="F34"/>
    </sheetView>
  </sheetViews>
  <sheetFormatPr defaultColWidth="9.109375" defaultRowHeight="13.8" x14ac:dyDescent="0.3"/>
  <cols>
    <col min="1" max="1" width="3" style="28" customWidth="1"/>
    <col min="2" max="2" width="48" style="28" customWidth="1"/>
    <col min="3" max="3" width="22.88671875" style="28" customWidth="1"/>
    <col min="4" max="4" width="6" style="3" customWidth="1"/>
    <col min="5" max="5" width="5.109375" style="3" customWidth="1"/>
    <col min="6" max="6" width="6.44140625" style="3" customWidth="1"/>
    <col min="7" max="7" width="6.6640625" style="3" customWidth="1"/>
    <col min="8" max="8" width="6.5546875" style="3" customWidth="1"/>
    <col min="9" max="9" width="9.109375" style="3"/>
    <col min="10" max="10" width="6" style="3" customWidth="1"/>
    <col min="11" max="11" width="9.109375" style="3"/>
    <col min="12" max="12" width="3.33203125" style="3" customWidth="1"/>
    <col min="13" max="14" width="6" style="3" customWidth="1"/>
    <col min="15" max="15" width="5.44140625" style="3" customWidth="1"/>
    <col min="16" max="16" width="5.33203125" style="3" customWidth="1"/>
    <col min="17" max="17" width="5" style="3" customWidth="1"/>
    <col min="18" max="16384" width="9.109375" style="3"/>
  </cols>
  <sheetData>
    <row r="1" spans="1:17" ht="18" x14ac:dyDescent="0.35">
      <c r="A1" s="8" t="s">
        <v>403</v>
      </c>
      <c r="B1" s="114"/>
      <c r="C1" s="114"/>
      <c r="D1" s="40"/>
      <c r="E1" s="40"/>
      <c r="F1" s="40"/>
      <c r="G1" s="40"/>
      <c r="H1" s="40"/>
      <c r="I1" s="40"/>
      <c r="J1" s="40"/>
      <c r="K1" s="40"/>
      <c r="L1" s="40"/>
      <c r="M1" s="40"/>
      <c r="N1" s="40"/>
    </row>
    <row r="2" spans="1:17" ht="20.25" customHeight="1" x14ac:dyDescent="0.3">
      <c r="A2" s="22"/>
      <c r="B2" s="22"/>
      <c r="C2" s="22"/>
    </row>
    <row r="3" spans="1:17" ht="18" x14ac:dyDescent="0.35">
      <c r="A3" s="8" t="s">
        <v>208</v>
      </c>
      <c r="B3" s="22"/>
      <c r="C3" s="22"/>
    </row>
    <row r="4" spans="1:17" ht="19.5" customHeight="1" x14ac:dyDescent="0.3">
      <c r="B4" s="672" t="s">
        <v>500</v>
      </c>
      <c r="C4" s="672"/>
      <c r="D4" s="672"/>
      <c r="E4" s="672"/>
      <c r="F4" s="672"/>
      <c r="G4" s="672"/>
      <c r="H4" s="672"/>
      <c r="I4" s="672"/>
      <c r="J4" s="672"/>
      <c r="K4" s="672"/>
      <c r="L4" s="170"/>
    </row>
    <row r="5" spans="1:17" ht="99.6" customHeight="1" x14ac:dyDescent="0.3">
      <c r="B5" s="672" t="s">
        <v>564</v>
      </c>
      <c r="C5" s="672"/>
      <c r="D5" s="672"/>
      <c r="E5" s="672"/>
      <c r="F5" s="672"/>
      <c r="G5" s="672"/>
      <c r="H5" s="672"/>
      <c r="I5" s="672"/>
      <c r="J5" s="672"/>
      <c r="K5" s="672"/>
      <c r="L5" s="170"/>
    </row>
    <row r="6" spans="1:17" ht="15.6" x14ac:dyDescent="0.3">
      <c r="B6" s="672" t="s">
        <v>300</v>
      </c>
      <c r="C6" s="672"/>
      <c r="D6" s="672"/>
      <c r="E6" s="672"/>
      <c r="F6" s="672"/>
      <c r="G6" s="672"/>
      <c r="H6" s="672"/>
      <c r="I6" s="672"/>
      <c r="J6" s="672"/>
      <c r="K6" s="672"/>
      <c r="L6" s="170"/>
    </row>
    <row r="7" spans="1:17" ht="15.6" x14ac:dyDescent="0.3">
      <c r="B7" s="170"/>
      <c r="C7" s="22"/>
      <c r="D7" s="170"/>
      <c r="E7" s="170"/>
      <c r="F7" s="170"/>
      <c r="G7" s="170"/>
      <c r="H7" s="170"/>
      <c r="I7" s="170"/>
      <c r="J7" s="170"/>
      <c r="K7" s="170"/>
      <c r="L7" s="170"/>
    </row>
    <row r="8" spans="1:17" ht="15.6" x14ac:dyDescent="0.3">
      <c r="A8" s="42" t="s">
        <v>27</v>
      </c>
      <c r="B8" s="42"/>
      <c r="C8" s="42"/>
      <c r="D8" s="175"/>
      <c r="E8" s="175"/>
      <c r="F8" s="175"/>
      <c r="G8" s="175"/>
      <c r="H8" s="175"/>
      <c r="I8" s="175"/>
      <c r="J8" s="175"/>
      <c r="K8" s="175"/>
      <c r="L8" s="175"/>
      <c r="M8" s="24"/>
      <c r="N8" s="24"/>
      <c r="O8" s="24"/>
      <c r="P8" s="24"/>
      <c r="Q8" s="25"/>
    </row>
    <row r="9" spans="1:17" ht="15.75" customHeight="1" x14ac:dyDescent="0.3">
      <c r="A9" s="42"/>
      <c r="B9" s="170" t="s">
        <v>295</v>
      </c>
      <c r="C9" s="42"/>
      <c r="D9" s="175"/>
      <c r="E9" s="175"/>
      <c r="F9" s="175"/>
      <c r="G9" s="175"/>
      <c r="H9" s="175"/>
      <c r="I9" s="175"/>
      <c r="J9" s="175"/>
      <c r="K9" s="175"/>
      <c r="L9" s="175"/>
      <c r="M9" s="24"/>
      <c r="N9" s="24"/>
      <c r="O9" s="24"/>
      <c r="P9" s="24"/>
      <c r="Q9" s="25"/>
    </row>
    <row r="10" spans="1:17" ht="15.6" x14ac:dyDescent="0.3">
      <c r="A10" s="23"/>
      <c r="B10" s="672" t="s">
        <v>11</v>
      </c>
      <c r="C10" s="672"/>
      <c r="D10" s="672"/>
      <c r="E10" s="672"/>
      <c r="F10" s="672"/>
      <c r="G10" s="672"/>
      <c r="H10" s="672"/>
      <c r="I10" s="672"/>
      <c r="J10" s="672"/>
      <c r="K10" s="672"/>
      <c r="L10" s="89"/>
      <c r="M10" s="26"/>
      <c r="N10" s="26"/>
      <c r="O10" s="26"/>
      <c r="P10" s="26"/>
      <c r="Q10" s="25"/>
    </row>
    <row r="11" spans="1:17" ht="15.75" customHeight="1" x14ac:dyDescent="0.3">
      <c r="A11" s="23"/>
      <c r="B11" s="89" t="s">
        <v>10</v>
      </c>
      <c r="C11" s="89"/>
      <c r="D11" s="170"/>
      <c r="E11" s="89"/>
      <c r="F11" s="89"/>
      <c r="G11" s="89"/>
      <c r="H11" s="89"/>
      <c r="I11" s="89"/>
      <c r="J11" s="89"/>
      <c r="K11" s="89"/>
      <c r="L11" s="89"/>
      <c r="M11" s="26"/>
      <c r="N11" s="26"/>
      <c r="O11" s="26"/>
      <c r="P11" s="26"/>
      <c r="Q11" s="25"/>
    </row>
    <row r="12" spans="1:17" ht="15.75" customHeight="1" x14ac:dyDescent="0.3">
      <c r="A12" s="23"/>
      <c r="B12" s="170"/>
      <c r="C12" s="89"/>
      <c r="D12" s="170"/>
      <c r="E12" s="89"/>
      <c r="F12" s="89"/>
      <c r="G12" s="89"/>
      <c r="H12" s="89"/>
      <c r="I12" s="89"/>
      <c r="J12" s="89"/>
      <c r="K12" s="89"/>
      <c r="L12" s="89"/>
      <c r="M12" s="26"/>
      <c r="N12" s="26"/>
      <c r="O12" s="26"/>
      <c r="P12" s="26"/>
      <c r="Q12" s="25"/>
    </row>
    <row r="13" spans="1:17" ht="15.75" customHeight="1" x14ac:dyDescent="0.3">
      <c r="A13" s="41" t="s">
        <v>28</v>
      </c>
      <c r="B13" s="41"/>
      <c r="C13" s="41"/>
      <c r="D13" s="41"/>
      <c r="E13" s="41"/>
      <c r="F13" s="41"/>
      <c r="G13" s="41"/>
      <c r="H13" s="41"/>
      <c r="I13" s="41"/>
      <c r="J13" s="41"/>
      <c r="K13" s="41"/>
      <c r="L13" s="41"/>
      <c r="M13" s="27"/>
      <c r="N13" s="27"/>
      <c r="O13" s="27"/>
      <c r="P13" s="27"/>
      <c r="Q13" s="25"/>
    </row>
    <row r="14" spans="1:17" ht="15.75" customHeight="1" x14ac:dyDescent="0.3">
      <c r="A14" s="41"/>
      <c r="B14" s="170" t="s">
        <v>294</v>
      </c>
      <c r="C14" s="41"/>
      <c r="D14" s="41"/>
      <c r="E14" s="41"/>
      <c r="F14" s="41"/>
      <c r="G14" s="41"/>
      <c r="H14" s="41"/>
      <c r="I14" s="41"/>
      <c r="J14" s="41"/>
      <c r="K14" s="41"/>
      <c r="L14" s="41"/>
      <c r="M14" s="27"/>
      <c r="N14" s="27"/>
      <c r="O14" s="27"/>
      <c r="P14" s="27"/>
      <c r="Q14" s="25"/>
    </row>
    <row r="15" spans="1:17" ht="15.75" customHeight="1" x14ac:dyDescent="0.3">
      <c r="A15" s="41"/>
      <c r="B15" s="672" t="s">
        <v>396</v>
      </c>
      <c r="C15" s="672"/>
      <c r="D15" s="672"/>
      <c r="E15" s="672"/>
      <c r="F15" s="672"/>
      <c r="G15" s="672"/>
      <c r="H15" s="672"/>
      <c r="I15" s="672"/>
      <c r="J15" s="672"/>
      <c r="K15" s="672"/>
      <c r="L15" s="41"/>
      <c r="M15" s="27"/>
      <c r="N15" s="27"/>
      <c r="O15" s="27"/>
      <c r="P15" s="27"/>
      <c r="Q15" s="25"/>
    </row>
    <row r="16" spans="1:17" ht="15.75" customHeight="1" x14ac:dyDescent="0.3">
      <c r="A16" s="41"/>
      <c r="B16" s="174" t="s">
        <v>399</v>
      </c>
      <c r="C16" s="174"/>
      <c r="D16" s="174"/>
      <c r="E16" s="174"/>
      <c r="F16" s="174"/>
      <c r="G16" s="174"/>
      <c r="H16" s="174"/>
      <c r="I16" s="174"/>
      <c r="J16" s="174"/>
      <c r="K16" s="174"/>
      <c r="L16" s="41"/>
      <c r="M16" s="27"/>
      <c r="N16" s="27"/>
      <c r="O16" s="27"/>
      <c r="P16" s="27"/>
      <c r="Q16" s="25"/>
    </row>
    <row r="17" spans="1:17" ht="15.75" customHeight="1" x14ac:dyDescent="0.3">
      <c r="A17" s="41"/>
      <c r="B17" s="174" t="s">
        <v>400</v>
      </c>
      <c r="C17" s="174"/>
      <c r="D17" s="174"/>
      <c r="E17" s="174"/>
      <c r="F17" s="174"/>
      <c r="G17" s="174"/>
      <c r="H17" s="174"/>
      <c r="I17" s="174"/>
      <c r="J17" s="174"/>
      <c r="K17" s="174"/>
      <c r="L17" s="41"/>
      <c r="M17" s="27"/>
      <c r="N17" s="27"/>
      <c r="O17" s="27"/>
      <c r="P17" s="27"/>
      <c r="Q17" s="25"/>
    </row>
    <row r="18" spans="1:17" ht="15.75" customHeight="1" x14ac:dyDescent="0.3">
      <c r="A18" s="41"/>
      <c r="B18" s="672" t="s">
        <v>296</v>
      </c>
      <c r="C18" s="672"/>
      <c r="D18" s="672"/>
      <c r="E18" s="672"/>
      <c r="F18" s="672"/>
      <c r="G18" s="672"/>
      <c r="H18" s="672"/>
      <c r="I18" s="672"/>
      <c r="J18" s="672"/>
      <c r="K18" s="672"/>
      <c r="L18" s="41"/>
      <c r="M18" s="27"/>
      <c r="N18" s="27"/>
      <c r="O18" s="27"/>
      <c r="P18" s="27"/>
      <c r="Q18" s="25"/>
    </row>
    <row r="19" spans="1:17" ht="15.75" customHeight="1" x14ac:dyDescent="0.3">
      <c r="A19" s="41"/>
      <c r="B19" s="672" t="s">
        <v>397</v>
      </c>
      <c r="C19" s="672"/>
      <c r="D19" s="672"/>
      <c r="E19" s="672"/>
      <c r="F19" s="672"/>
      <c r="G19" s="672"/>
      <c r="H19" s="672"/>
      <c r="I19" s="672"/>
      <c r="J19" s="672"/>
      <c r="K19" s="672"/>
      <c r="L19" s="41"/>
      <c r="M19" s="27"/>
      <c r="N19" s="27"/>
      <c r="O19" s="27"/>
      <c r="P19" s="27"/>
      <c r="Q19" s="25"/>
    </row>
    <row r="20" spans="1:17" ht="15.75" customHeight="1" x14ac:dyDescent="0.3">
      <c r="A20" s="26"/>
      <c r="B20" s="174" t="s">
        <v>398</v>
      </c>
      <c r="C20" s="347"/>
      <c r="D20" s="347"/>
      <c r="E20" s="347"/>
      <c r="F20" s="347"/>
      <c r="G20" s="347"/>
      <c r="H20" s="347"/>
      <c r="I20" s="347"/>
      <c r="J20" s="347"/>
      <c r="K20" s="347"/>
      <c r="L20" s="41"/>
      <c r="M20" s="27"/>
      <c r="N20" s="27"/>
      <c r="O20" s="27"/>
      <c r="P20" s="27"/>
      <c r="Q20" s="25"/>
    </row>
    <row r="21" spans="1:17" ht="15.75" customHeight="1" x14ac:dyDescent="0.3">
      <c r="A21" s="26"/>
      <c r="B21" s="174" t="s">
        <v>401</v>
      </c>
      <c r="C21" s="347"/>
      <c r="D21" s="347"/>
      <c r="E21" s="347"/>
      <c r="F21" s="347"/>
      <c r="G21" s="347"/>
      <c r="H21" s="347"/>
      <c r="I21" s="347"/>
      <c r="J21" s="347"/>
      <c r="K21" s="347"/>
      <c r="L21" s="41"/>
      <c r="M21" s="27"/>
      <c r="N21" s="27"/>
      <c r="O21" s="27"/>
      <c r="P21" s="27"/>
      <c r="Q21" s="25"/>
    </row>
    <row r="22" spans="1:17" ht="15.75" customHeight="1" x14ac:dyDescent="0.3">
      <c r="A22" s="26"/>
      <c r="B22" s="170"/>
      <c r="C22" s="41"/>
      <c r="D22" s="41"/>
      <c r="E22" s="41"/>
      <c r="F22" s="41"/>
      <c r="G22" s="41"/>
      <c r="H22" s="41"/>
      <c r="I22" s="41"/>
      <c r="J22" s="41"/>
      <c r="K22" s="41"/>
      <c r="L22" s="41"/>
      <c r="M22" s="27"/>
      <c r="N22" s="27"/>
      <c r="O22" s="27"/>
      <c r="P22" s="27"/>
      <c r="Q22" s="25"/>
    </row>
    <row r="23" spans="1:17" ht="15.75" customHeight="1" x14ac:dyDescent="0.3">
      <c r="A23" s="41" t="s">
        <v>178</v>
      </c>
      <c r="B23" s="89"/>
      <c r="C23" s="41"/>
      <c r="D23" s="41"/>
      <c r="E23" s="41"/>
      <c r="F23" s="41"/>
      <c r="G23" s="41"/>
      <c r="H23" s="41"/>
      <c r="I23" s="41"/>
      <c r="J23" s="41"/>
      <c r="K23" s="41"/>
      <c r="L23" s="41"/>
      <c r="M23" s="27"/>
      <c r="N23" s="27"/>
      <c r="O23" s="27"/>
      <c r="P23" s="27"/>
      <c r="Q23" s="25"/>
    </row>
    <row r="24" spans="1:17" ht="15.75" customHeight="1" x14ac:dyDescent="0.3">
      <c r="A24" s="41"/>
      <c r="B24" s="170" t="s">
        <v>297</v>
      </c>
      <c r="C24" s="41"/>
      <c r="D24" s="41"/>
      <c r="E24" s="41"/>
      <c r="F24" s="41"/>
      <c r="G24" s="41"/>
      <c r="H24" s="41"/>
      <c r="I24" s="41"/>
      <c r="J24" s="41"/>
      <c r="K24" s="41"/>
      <c r="L24" s="41"/>
      <c r="M24" s="27"/>
      <c r="N24" s="27"/>
      <c r="O24" s="27"/>
      <c r="P24" s="27"/>
      <c r="Q24" s="25"/>
    </row>
    <row r="25" spans="1:17" ht="15.6" x14ac:dyDescent="0.3">
      <c r="A25" s="26"/>
      <c r="B25" s="672" t="s">
        <v>176</v>
      </c>
      <c r="C25" s="672"/>
      <c r="D25" s="672"/>
      <c r="E25" s="672"/>
      <c r="F25" s="672"/>
      <c r="G25" s="672"/>
      <c r="H25" s="672"/>
      <c r="I25" s="672"/>
      <c r="J25" s="672"/>
      <c r="K25" s="672"/>
      <c r="L25" s="41"/>
      <c r="M25" s="27"/>
      <c r="N25" s="27"/>
      <c r="O25" s="27"/>
      <c r="P25" s="27"/>
      <c r="Q25" s="25"/>
    </row>
    <row r="26" spans="1:17" ht="15.75" customHeight="1" x14ac:dyDescent="0.3">
      <c r="A26" s="26"/>
      <c r="B26" s="89" t="s">
        <v>402</v>
      </c>
      <c r="C26" s="41"/>
      <c r="D26" s="41"/>
      <c r="E26" s="41"/>
      <c r="F26" s="41"/>
      <c r="G26" s="41"/>
      <c r="H26" s="41"/>
      <c r="I26" s="41"/>
      <c r="J26" s="41"/>
      <c r="K26" s="41"/>
      <c r="L26" s="41"/>
      <c r="M26" s="27"/>
      <c r="N26" s="27"/>
      <c r="O26" s="27"/>
      <c r="P26" s="27"/>
      <c r="Q26" s="25"/>
    </row>
    <row r="27" spans="1:17" ht="15.75" customHeight="1" x14ac:dyDescent="0.3">
      <c r="A27" s="26"/>
      <c r="B27" s="89"/>
      <c r="C27" s="41"/>
      <c r="D27" s="41"/>
      <c r="E27" s="41"/>
      <c r="F27" s="41"/>
      <c r="G27" s="41"/>
      <c r="H27" s="41"/>
      <c r="I27" s="41"/>
      <c r="J27" s="41"/>
      <c r="K27" s="41"/>
      <c r="L27" s="41"/>
      <c r="M27" s="27"/>
      <c r="N27" s="27"/>
      <c r="O27" s="27"/>
      <c r="P27" s="27"/>
      <c r="Q27" s="25"/>
    </row>
    <row r="28" spans="1:17" ht="15.75" customHeight="1" x14ac:dyDescent="0.3">
      <c r="A28" s="41" t="s">
        <v>177</v>
      </c>
      <c r="B28" s="89"/>
      <c r="C28" s="41"/>
      <c r="D28" s="41"/>
      <c r="E28" s="41"/>
      <c r="F28" s="41"/>
      <c r="G28" s="41"/>
      <c r="H28" s="41"/>
      <c r="I28" s="41"/>
      <c r="J28" s="41"/>
      <c r="K28" s="41"/>
      <c r="L28" s="41"/>
      <c r="M28" s="27"/>
      <c r="N28" s="27"/>
      <c r="O28" s="27"/>
      <c r="P28" s="27"/>
      <c r="Q28" s="25"/>
    </row>
    <row r="29" spans="1:17" ht="15.75" customHeight="1" x14ac:dyDescent="0.3">
      <c r="A29" s="26"/>
      <c r="B29" s="170" t="s">
        <v>298</v>
      </c>
      <c r="C29" s="41"/>
      <c r="D29" s="41"/>
      <c r="E29" s="41"/>
      <c r="F29" s="41"/>
      <c r="G29" s="41"/>
      <c r="H29" s="41"/>
      <c r="I29" s="41"/>
      <c r="J29" s="41"/>
      <c r="K29" s="41"/>
      <c r="L29" s="41"/>
      <c r="M29" s="27"/>
      <c r="N29" s="27"/>
      <c r="O29" s="27"/>
      <c r="P29" s="27"/>
      <c r="Q29" s="25"/>
    </row>
    <row r="30" spans="1:17" ht="15.75" customHeight="1" x14ac:dyDescent="0.3">
      <c r="A30" s="26"/>
      <c r="B30" s="170"/>
      <c r="C30" s="41"/>
      <c r="D30" s="41"/>
      <c r="E30" s="41"/>
      <c r="F30" s="41"/>
      <c r="G30" s="41"/>
      <c r="H30" s="41"/>
      <c r="I30" s="41"/>
      <c r="J30" s="41"/>
      <c r="K30" s="41"/>
      <c r="L30" s="41"/>
      <c r="M30" s="27"/>
      <c r="N30" s="27"/>
      <c r="O30" s="27"/>
      <c r="P30" s="27"/>
      <c r="Q30" s="25"/>
    </row>
    <row r="31" spans="1:17" ht="45.75" customHeight="1" x14ac:dyDescent="0.3">
      <c r="A31" s="672" t="s">
        <v>567</v>
      </c>
      <c r="B31" s="672"/>
      <c r="C31" s="672"/>
      <c r="D31" s="672"/>
      <c r="E31" s="672"/>
      <c r="F31" s="672"/>
      <c r="G31" s="672"/>
      <c r="H31" s="672"/>
      <c r="I31" s="672"/>
      <c r="J31" s="672"/>
      <c r="K31" s="672"/>
      <c r="L31" s="41"/>
      <c r="M31" s="27"/>
      <c r="N31" s="27"/>
      <c r="O31" s="27"/>
      <c r="P31" s="27"/>
      <c r="Q31" s="25"/>
    </row>
    <row r="32" spans="1:17" ht="15.75" customHeight="1" x14ac:dyDescent="0.3">
      <c r="A32" s="26"/>
      <c r="B32" s="89"/>
      <c r="C32" s="41"/>
      <c r="D32" s="41"/>
      <c r="E32" s="41"/>
      <c r="F32" s="41"/>
      <c r="G32" s="41"/>
      <c r="H32" s="41"/>
      <c r="I32" s="41"/>
      <c r="J32" s="41"/>
      <c r="K32" s="41"/>
      <c r="L32" s="41"/>
      <c r="M32" s="27"/>
      <c r="N32" s="27"/>
      <c r="O32" s="27"/>
      <c r="P32" s="27"/>
      <c r="Q32" s="25"/>
    </row>
    <row r="33" spans="1:12" s="179" customFormat="1" ht="31.5" customHeight="1" x14ac:dyDescent="0.3">
      <c r="A33" s="673" t="s">
        <v>299</v>
      </c>
      <c r="B33" s="673"/>
      <c r="C33" s="673"/>
      <c r="D33" s="673"/>
      <c r="E33" s="673"/>
      <c r="F33" s="673"/>
      <c r="G33" s="673"/>
      <c r="H33" s="673"/>
      <c r="I33" s="673"/>
      <c r="J33" s="673"/>
      <c r="K33" s="673"/>
      <c r="L33" s="178"/>
    </row>
    <row r="34" spans="1:12" ht="15.75" customHeight="1" x14ac:dyDescent="0.3">
      <c r="B34" s="89"/>
      <c r="C34" s="22"/>
      <c r="D34" s="170"/>
      <c r="E34" s="170"/>
      <c r="F34" s="170"/>
      <c r="G34" s="170"/>
      <c r="H34" s="170"/>
      <c r="I34" s="170"/>
      <c r="J34" s="170"/>
      <c r="K34" s="170"/>
      <c r="L34" s="170"/>
    </row>
    <row r="35" spans="1:12" ht="15.75" customHeight="1" x14ac:dyDescent="0.3">
      <c r="B35" s="22"/>
      <c r="C35" s="22"/>
      <c r="D35" s="170"/>
      <c r="E35" s="170"/>
      <c r="F35" s="170"/>
      <c r="G35" s="170"/>
      <c r="H35" s="170"/>
      <c r="I35" s="170"/>
      <c r="J35" s="170"/>
      <c r="K35" s="170"/>
      <c r="L35" s="170"/>
    </row>
    <row r="36" spans="1:12" ht="15.75" customHeight="1" x14ac:dyDescent="0.3">
      <c r="B36" s="22"/>
      <c r="C36" s="22"/>
      <c r="D36" s="170"/>
      <c r="E36" s="170"/>
      <c r="F36" s="170"/>
      <c r="G36" s="170"/>
      <c r="H36" s="170"/>
      <c r="I36" s="170"/>
      <c r="J36" s="170"/>
      <c r="K36" s="170"/>
      <c r="L36" s="170"/>
    </row>
  </sheetData>
  <sheetProtection password="D286" sheet="1" objects="1" scenarios="1"/>
  <mergeCells count="10">
    <mergeCell ref="B18:K18"/>
    <mergeCell ref="A31:K31"/>
    <mergeCell ref="A33:K33"/>
    <mergeCell ref="B25:K25"/>
    <mergeCell ref="B19:K19"/>
    <mergeCell ref="B4:K4"/>
    <mergeCell ref="B6:K6"/>
    <mergeCell ref="B10:K10"/>
    <mergeCell ref="B15:K15"/>
    <mergeCell ref="B5:K5"/>
  </mergeCells>
  <phoneticPr fontId="2" type="noConversion"/>
  <pageMargins left="0.39370078740157483" right="0.27559055118110237" top="0.62992125984251968" bottom="0.98425196850393704" header="0.51181102362204722" footer="0.51181102362204722"/>
  <pageSetup paperSize="9" scale="74" fitToHeight="0" orientation="portrait" r:id="rId1"/>
  <headerFooter alignWithMargins="0">
    <oddFooter>&amp;CInstructions</oddFooter>
  </headerFooter>
  <colBreaks count="1" manualBreakCount="1">
    <brk id="20" max="81"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52"/>
  </sheetPr>
  <dimension ref="A1:Y83"/>
  <sheetViews>
    <sheetView view="pageBreakPreview" zoomScale="90" zoomScaleNormal="100" zoomScaleSheetLayoutView="100" workbookViewId="0">
      <pane xSplit="3" ySplit="12" topLeftCell="D13" activePane="bottomRight" state="frozen"/>
      <selection activeCell="C3" sqref="C3:N3"/>
      <selection pane="topRight" activeCell="C3" sqref="C3:N3"/>
      <selection pane="bottomLeft" activeCell="C3" sqref="C3:N3"/>
      <selection pane="bottomRight" activeCell="D14" sqref="D14"/>
    </sheetView>
  </sheetViews>
  <sheetFormatPr defaultColWidth="9.109375" defaultRowHeight="13.8" x14ac:dyDescent="0.3"/>
  <cols>
    <col min="1" max="1" width="4.33203125" style="528" customWidth="1"/>
    <col min="2" max="2" width="45.88671875" style="535" customWidth="1"/>
    <col min="3" max="3" width="7.33203125" style="533" customWidth="1"/>
    <col min="4" max="4" width="19" style="533" customWidth="1"/>
    <col min="5" max="5" width="15.33203125" style="533" customWidth="1"/>
    <col min="6" max="6" width="17.109375" style="533" customWidth="1"/>
    <col min="7" max="7" width="10.33203125" style="552" customWidth="1"/>
    <col min="8" max="8" width="11.5546875" style="533" customWidth="1"/>
    <col min="9" max="9" width="12" style="533" customWidth="1"/>
    <col min="10" max="10" width="10.6640625" style="533" customWidth="1"/>
    <col min="11" max="11" width="12" style="533" customWidth="1"/>
    <col min="12" max="12" width="0.88671875" style="533" customWidth="1"/>
    <col min="13" max="13" width="11.109375" style="534" customWidth="1"/>
    <col min="14" max="16" width="7.6640625" style="534" customWidth="1"/>
    <col min="17" max="19" width="7.6640625" style="535" customWidth="1"/>
    <col min="20" max="20" width="7.88671875" style="535" customWidth="1"/>
    <col min="21" max="22" width="6.109375" style="535" customWidth="1"/>
    <col min="23" max="23" width="6.33203125" style="535" customWidth="1"/>
    <col min="24" max="24" width="6" style="535" customWidth="1"/>
    <col min="25" max="16384" width="9.109375" style="535"/>
  </cols>
  <sheetData>
    <row r="1" spans="1:25" ht="20.399999999999999" x14ac:dyDescent="0.35">
      <c r="B1" s="529" t="s">
        <v>457</v>
      </c>
      <c r="C1" s="530"/>
      <c r="D1" s="531"/>
      <c r="E1" s="531"/>
      <c r="F1" s="531"/>
      <c r="G1" s="531"/>
      <c r="H1" s="532"/>
      <c r="I1" s="530"/>
      <c r="J1" s="530"/>
      <c r="K1" s="530"/>
    </row>
    <row r="2" spans="1:25" ht="15.6" x14ac:dyDescent="0.3">
      <c r="B2" s="536" t="s">
        <v>453</v>
      </c>
      <c r="D2" s="537"/>
      <c r="E2" s="537"/>
      <c r="F2" s="537"/>
      <c r="G2" s="537"/>
      <c r="H2" s="537"/>
    </row>
    <row r="3" spans="1:25" ht="18" x14ac:dyDescent="0.35">
      <c r="B3" s="538"/>
      <c r="D3" s="684" t="s">
        <v>209</v>
      </c>
      <c r="E3" s="685"/>
      <c r="F3" s="685"/>
      <c r="G3" s="685"/>
      <c r="H3" s="685"/>
      <c r="I3" s="685"/>
      <c r="J3" s="685"/>
      <c r="K3" s="686"/>
    </row>
    <row r="4" spans="1:25" hidden="1" x14ac:dyDescent="0.3">
      <c r="D4" s="537"/>
      <c r="E4" s="537"/>
      <c r="F4" s="537"/>
      <c r="G4" s="537"/>
      <c r="H4" s="537"/>
    </row>
    <row r="5" spans="1:25" ht="15.6" x14ac:dyDescent="0.3">
      <c r="B5" s="536" t="s">
        <v>39</v>
      </c>
      <c r="D5" s="537"/>
      <c r="E5" s="537"/>
      <c r="F5" s="537"/>
      <c r="G5" s="537"/>
      <c r="H5" s="537"/>
    </row>
    <row r="6" spans="1:25" ht="15.6" x14ac:dyDescent="0.3">
      <c r="B6" s="536" t="s">
        <v>388</v>
      </c>
      <c r="D6" s="537"/>
      <c r="E6" s="537"/>
      <c r="F6" s="537"/>
      <c r="G6" s="537"/>
      <c r="H6" s="537"/>
    </row>
    <row r="7" spans="1:25" ht="15.6" x14ac:dyDescent="0.3">
      <c r="B7" s="536" t="s">
        <v>389</v>
      </c>
      <c r="D7" s="537"/>
      <c r="E7" s="537"/>
      <c r="F7" s="537"/>
      <c r="G7" s="537"/>
      <c r="H7" s="537"/>
    </row>
    <row r="8" spans="1:25" ht="15.6" x14ac:dyDescent="0.3">
      <c r="B8" s="536" t="s">
        <v>390</v>
      </c>
      <c r="D8" s="537"/>
      <c r="E8" s="537"/>
      <c r="F8" s="537"/>
      <c r="G8" s="537"/>
      <c r="H8" s="537"/>
    </row>
    <row r="9" spans="1:25" ht="14.4" thickBot="1" x14ac:dyDescent="0.35">
      <c r="B9" s="537"/>
      <c r="D9" s="537"/>
      <c r="E9" s="537"/>
      <c r="F9" s="537"/>
      <c r="G9" s="537"/>
      <c r="H9" s="537"/>
      <c r="N9" s="676" t="s">
        <v>558</v>
      </c>
      <c r="O9" s="677"/>
      <c r="P9" s="677"/>
      <c r="Q9" s="677"/>
      <c r="R9" s="677"/>
      <c r="S9" s="678"/>
      <c r="T9" s="676" t="str">
        <f>"Factors from "&amp;N11&amp;" Update"</f>
        <v>Factors from 2018 Update</v>
      </c>
      <c r="U9" s="677"/>
      <c r="V9" s="677"/>
      <c r="W9" s="677"/>
      <c r="X9" s="678"/>
      <c r="Y9" s="674" t="s">
        <v>557</v>
      </c>
    </row>
    <row r="10" spans="1:25" ht="15.6" x14ac:dyDescent="0.3">
      <c r="B10" s="693" t="s">
        <v>135</v>
      </c>
      <c r="C10" s="696" t="s">
        <v>73</v>
      </c>
      <c r="D10" s="690" t="s">
        <v>452</v>
      </c>
      <c r="E10" s="691"/>
      <c r="F10" s="691"/>
      <c r="G10" s="692"/>
      <c r="H10" s="687" t="s">
        <v>204</v>
      </c>
      <c r="I10" s="688"/>
      <c r="J10" s="688"/>
      <c r="K10" s="689"/>
      <c r="L10" s="539"/>
      <c r="M10" s="540"/>
      <c r="N10" s="679"/>
      <c r="O10" s="680"/>
      <c r="P10" s="680"/>
      <c r="Q10" s="680"/>
      <c r="R10" s="680"/>
      <c r="S10" s="681"/>
      <c r="T10" s="541"/>
      <c r="U10" s="682" t="s">
        <v>303</v>
      </c>
      <c r="V10" s="682"/>
      <c r="W10" s="682"/>
      <c r="X10" s="683"/>
      <c r="Y10" s="675"/>
    </row>
    <row r="11" spans="1:25" s="552" customFormat="1" ht="28.5" customHeight="1" x14ac:dyDescent="0.3">
      <c r="A11" s="542"/>
      <c r="B11" s="694"/>
      <c r="C11" s="697"/>
      <c r="D11" s="543" t="s">
        <v>116</v>
      </c>
      <c r="E11" s="544" t="s">
        <v>117</v>
      </c>
      <c r="F11" s="544" t="s">
        <v>118</v>
      </c>
      <c r="G11" s="545" t="s">
        <v>121</v>
      </c>
      <c r="H11" s="543" t="s">
        <v>116</v>
      </c>
      <c r="I11" s="544" t="s">
        <v>117</v>
      </c>
      <c r="J11" s="544" t="s">
        <v>118</v>
      </c>
      <c r="K11" s="545" t="s">
        <v>120</v>
      </c>
      <c r="L11" s="546"/>
      <c r="M11" s="540"/>
      <c r="N11" s="547">
        <v>2018</v>
      </c>
      <c r="O11" s="548">
        <v>2017</v>
      </c>
      <c r="P11" s="548">
        <v>2016</v>
      </c>
      <c r="Q11" s="548">
        <v>2015</v>
      </c>
      <c r="R11" s="548">
        <v>2014</v>
      </c>
      <c r="S11" s="549">
        <v>2013</v>
      </c>
      <c r="T11" s="541"/>
      <c r="U11" s="550"/>
      <c r="V11" s="550"/>
      <c r="W11" s="550"/>
      <c r="X11" s="551"/>
      <c r="Y11" s="675"/>
    </row>
    <row r="12" spans="1:25" s="568" customFormat="1" ht="57.75" customHeight="1" thickBot="1" x14ac:dyDescent="0.35">
      <c r="A12" s="553"/>
      <c r="B12" s="695"/>
      <c r="C12" s="698"/>
      <c r="D12" s="554" t="s">
        <v>93</v>
      </c>
      <c r="E12" s="555" t="s">
        <v>92</v>
      </c>
      <c r="F12" s="555" t="s">
        <v>71</v>
      </c>
      <c r="G12" s="556"/>
      <c r="H12" s="557" t="s">
        <v>203</v>
      </c>
      <c r="I12" s="558" t="s">
        <v>203</v>
      </c>
      <c r="J12" s="558" t="s">
        <v>203</v>
      </c>
      <c r="K12" s="559" t="s">
        <v>203</v>
      </c>
      <c r="L12" s="560"/>
      <c r="M12" s="561"/>
      <c r="N12" s="562" t="s">
        <v>213</v>
      </c>
      <c r="O12" s="563" t="s">
        <v>213</v>
      </c>
      <c r="P12" s="563" t="s">
        <v>213</v>
      </c>
      <c r="Q12" s="563" t="s">
        <v>213</v>
      </c>
      <c r="R12" s="563" t="s">
        <v>213</v>
      </c>
      <c r="S12" s="563" t="s">
        <v>213</v>
      </c>
      <c r="T12" s="564"/>
      <c r="U12" s="565"/>
      <c r="V12" s="565"/>
      <c r="W12" s="565"/>
      <c r="X12" s="566"/>
      <c r="Y12" s="567"/>
    </row>
    <row r="13" spans="1:25" ht="15.6" x14ac:dyDescent="0.3">
      <c r="B13" s="569" t="s">
        <v>305</v>
      </c>
      <c r="C13" s="570"/>
      <c r="D13" s="569" t="s">
        <v>122</v>
      </c>
      <c r="E13" s="570"/>
      <c r="F13" s="570"/>
      <c r="G13" s="571"/>
      <c r="H13" s="572"/>
      <c r="I13" s="573"/>
      <c r="J13" s="573"/>
      <c r="K13" s="574"/>
      <c r="L13" s="575"/>
      <c r="M13" s="576"/>
      <c r="N13" s="577"/>
      <c r="O13" s="578"/>
      <c r="P13" s="578"/>
      <c r="Q13" s="578"/>
      <c r="R13" s="579"/>
      <c r="S13" s="580"/>
      <c r="T13" s="581"/>
      <c r="U13" s="582"/>
      <c r="V13" s="582"/>
      <c r="W13" s="582"/>
      <c r="X13" s="582"/>
      <c r="Y13" s="583"/>
    </row>
    <row r="14" spans="1:25" ht="15.6" x14ac:dyDescent="0.3">
      <c r="B14" s="584" t="s">
        <v>3</v>
      </c>
      <c r="C14" s="585" t="s">
        <v>59</v>
      </c>
      <c r="D14" s="166"/>
      <c r="E14" s="167"/>
      <c r="F14" s="167"/>
      <c r="G14" s="586" t="str">
        <f>IF(CONCATENATE(D14,E14,F14)="","",SUM(D14:F14))</f>
        <v/>
      </c>
      <c r="H14" s="587" t="str">
        <f t="shared" ref="H14:K16" si="0">IF(D14="","",D14*$N14)</f>
        <v/>
      </c>
      <c r="I14" s="588" t="str">
        <f t="shared" si="0"/>
        <v/>
      </c>
      <c r="J14" s="588" t="str">
        <f t="shared" si="0"/>
        <v/>
      </c>
      <c r="K14" s="589" t="str">
        <f t="shared" si="0"/>
        <v/>
      </c>
      <c r="L14" s="590"/>
      <c r="M14" s="591"/>
      <c r="N14" s="670">
        <f>Y14</f>
        <v>8.1999999999999998E-4</v>
      </c>
      <c r="O14" s="578">
        <v>8.3000000000000001E-4</v>
      </c>
      <c r="P14" s="578">
        <v>8.3999999999999993E-4</v>
      </c>
      <c r="Q14" s="578">
        <v>8.3999999999999993E-4</v>
      </c>
      <c r="R14" s="578">
        <v>8.5999999999999998E-4</v>
      </c>
      <c r="S14" s="593">
        <v>8.7000000000000001E-4</v>
      </c>
      <c r="T14" s="594"/>
      <c r="U14" s="582"/>
      <c r="V14" s="582"/>
      <c r="W14" s="582"/>
      <c r="X14" s="582"/>
      <c r="Y14" s="595">
        <f>0.82/1000</f>
        <v>8.1999999999999998E-4</v>
      </c>
    </row>
    <row r="15" spans="1:25" ht="15.6" x14ac:dyDescent="0.3">
      <c r="B15" s="584" t="s">
        <v>4</v>
      </c>
      <c r="C15" s="585" t="s">
        <v>59</v>
      </c>
      <c r="D15" s="166"/>
      <c r="E15" s="167"/>
      <c r="F15" s="167"/>
      <c r="G15" s="586"/>
      <c r="H15" s="587" t="str">
        <f t="shared" si="0"/>
        <v/>
      </c>
      <c r="I15" s="588" t="str">
        <f t="shared" si="0"/>
        <v/>
      </c>
      <c r="J15" s="588" t="str">
        <f t="shared" si="0"/>
        <v/>
      </c>
      <c r="K15" s="589" t="str">
        <f t="shared" si="0"/>
        <v/>
      </c>
      <c r="L15" s="590"/>
      <c r="M15" s="591"/>
      <c r="N15" s="670">
        <f>Y15</f>
        <v>8.0000000000000004E-4</v>
      </c>
      <c r="O15" s="578">
        <v>7.9000000000000001E-4</v>
      </c>
      <c r="P15" s="578">
        <v>7.7999999999999999E-4</v>
      </c>
      <c r="Q15" s="578">
        <v>7.9000000000000001E-4</v>
      </c>
      <c r="R15" s="578">
        <v>8.1000000000000006E-4</v>
      </c>
      <c r="S15" s="593">
        <v>8.1999999999999998E-4</v>
      </c>
      <c r="T15" s="594"/>
      <c r="U15" s="582"/>
      <c r="V15" s="582"/>
      <c r="W15" s="582"/>
      <c r="X15" s="582"/>
      <c r="Y15" s="595">
        <f>0.8/1000</f>
        <v>8.0000000000000004E-4</v>
      </c>
    </row>
    <row r="16" spans="1:25" ht="15.6" x14ac:dyDescent="0.3">
      <c r="B16" s="584" t="s">
        <v>114</v>
      </c>
      <c r="C16" s="585" t="s">
        <v>59</v>
      </c>
      <c r="D16" s="166"/>
      <c r="E16" s="167"/>
      <c r="F16" s="167"/>
      <c r="G16" s="586" t="str">
        <f>IF(CONCATENATE(D16,E16,F16)="","",SUM(D16:F16))</f>
        <v/>
      </c>
      <c r="H16" s="587" t="str">
        <f t="shared" si="0"/>
        <v/>
      </c>
      <c r="I16" s="588" t="str">
        <f t="shared" si="0"/>
        <v/>
      </c>
      <c r="J16" s="588" t="str">
        <f t="shared" si="0"/>
        <v/>
      </c>
      <c r="K16" s="589" t="str">
        <f t="shared" si="0"/>
        <v/>
      </c>
      <c r="L16" s="590"/>
      <c r="M16" s="591"/>
      <c r="N16" s="670">
        <f>Y16</f>
        <v>1.07E-3</v>
      </c>
      <c r="O16" s="578">
        <v>1.08E-3</v>
      </c>
      <c r="P16" s="578">
        <v>1.09E-3</v>
      </c>
      <c r="Q16" s="578">
        <v>1.1299999999999999E-3</v>
      </c>
      <c r="R16" s="578">
        <v>1.1799999999999998E-3</v>
      </c>
      <c r="S16" s="593">
        <v>1.17E-3</v>
      </c>
      <c r="T16" s="594"/>
      <c r="U16" s="582"/>
      <c r="V16" s="582"/>
      <c r="W16" s="582"/>
      <c r="X16" s="582"/>
      <c r="Y16" s="595">
        <f>1.07/1000</f>
        <v>1.07E-3</v>
      </c>
    </row>
    <row r="17" spans="2:25" ht="15.6" x14ac:dyDescent="0.3">
      <c r="B17" s="596" t="s">
        <v>74</v>
      </c>
      <c r="C17" s="597" t="s">
        <v>182</v>
      </c>
      <c r="D17" s="598"/>
      <c r="E17" s="599"/>
      <c r="F17" s="599"/>
      <c r="G17" s="586"/>
      <c r="H17" s="600">
        <f>SUM(H14:H16)</f>
        <v>0</v>
      </c>
      <c r="I17" s="601">
        <f>SUM(I14:I16)</f>
        <v>0</v>
      </c>
      <c r="J17" s="601">
        <f>SUM(J14:J16)</f>
        <v>0</v>
      </c>
      <c r="K17" s="602">
        <f>SUM(K14:K16)</f>
        <v>0</v>
      </c>
      <c r="L17" s="590"/>
      <c r="M17" s="591"/>
      <c r="N17" s="667"/>
      <c r="O17" s="592"/>
      <c r="P17" s="592"/>
      <c r="Q17" s="578"/>
      <c r="R17" s="579"/>
      <c r="S17" s="593"/>
      <c r="T17" s="581"/>
      <c r="U17" s="582"/>
      <c r="V17" s="582"/>
      <c r="W17" s="582"/>
      <c r="X17" s="582"/>
      <c r="Y17" s="583"/>
    </row>
    <row r="18" spans="2:25" ht="7.5" customHeight="1" x14ac:dyDescent="0.3">
      <c r="B18" s="584"/>
      <c r="C18" s="585"/>
      <c r="D18" s="603"/>
      <c r="E18" s="604"/>
      <c r="F18" s="604"/>
      <c r="G18" s="605"/>
      <c r="H18" s="606"/>
      <c r="I18" s="607"/>
      <c r="J18" s="607"/>
      <c r="K18" s="608"/>
      <c r="L18" s="609"/>
      <c r="M18" s="578"/>
      <c r="N18" s="667"/>
      <c r="O18" s="592"/>
      <c r="P18" s="592"/>
      <c r="Q18" s="578"/>
      <c r="R18" s="579"/>
      <c r="S18" s="593"/>
      <c r="T18" s="581"/>
      <c r="U18" s="610"/>
      <c r="V18" s="610"/>
      <c r="W18" s="610"/>
      <c r="X18" s="610"/>
      <c r="Y18" s="611"/>
    </row>
    <row r="19" spans="2:25" ht="15.6" x14ac:dyDescent="0.3">
      <c r="B19" s="612" t="s">
        <v>306</v>
      </c>
      <c r="C19" s="613"/>
      <c r="D19" s="612"/>
      <c r="E19" s="613"/>
      <c r="F19" s="613"/>
      <c r="G19" s="614"/>
      <c r="H19" s="615"/>
      <c r="I19" s="616"/>
      <c r="J19" s="616"/>
      <c r="K19" s="617"/>
      <c r="L19" s="575"/>
      <c r="M19" s="576"/>
      <c r="N19" s="667"/>
      <c r="O19" s="592"/>
      <c r="P19" s="592"/>
      <c r="Q19" s="578" t="s">
        <v>559</v>
      </c>
      <c r="R19" s="579"/>
      <c r="S19" s="593"/>
      <c r="T19" s="581"/>
      <c r="U19" s="610"/>
      <c r="V19" s="610"/>
      <c r="W19" s="610"/>
      <c r="X19" s="610"/>
      <c r="Y19" s="611"/>
    </row>
    <row r="20" spans="2:25" ht="15.6" x14ac:dyDescent="0.3">
      <c r="B20" s="584" t="s">
        <v>89</v>
      </c>
      <c r="C20" s="585" t="s">
        <v>54</v>
      </c>
      <c r="D20" s="168"/>
      <c r="E20" s="169"/>
      <c r="F20" s="169"/>
      <c r="G20" s="602" t="str">
        <f t="shared" ref="G20:G26" si="1">IF(CONCATENATE(D20,E20,F20)="","",SUM(D20:F20))</f>
        <v/>
      </c>
      <c r="H20" s="587" t="str">
        <f t="shared" ref="H20:H26" si="2">IF(D20="","",IF($C20="L",D20*$N20/1000,D20*$N20))</f>
        <v/>
      </c>
      <c r="I20" s="588" t="str">
        <f t="shared" ref="I20:I26" si="3">IF(E20="","",IF($C20="L",E20*$N20/1000,E20*$N20))</f>
        <v/>
      </c>
      <c r="J20" s="588" t="str">
        <f t="shared" ref="J20:J26" si="4">IF(F20="","",IF($C20="L",F20*$N20/1000,F20*$N20))</f>
        <v/>
      </c>
      <c r="K20" s="589" t="str">
        <f t="shared" ref="K20:K26" si="5">IF(CONCATENATE(H20,I20,J20)="","",SUM(H20:J20))</f>
        <v/>
      </c>
      <c r="L20" s="590"/>
      <c r="M20" s="591"/>
      <c r="N20" s="618">
        <f t="shared" ref="N20:N27" si="6">Y20</f>
        <v>2.2425250000000001</v>
      </c>
      <c r="O20" s="619">
        <v>2.2425250000000001</v>
      </c>
      <c r="P20" s="619">
        <v>2.2425250000000001</v>
      </c>
      <c r="Q20" s="619">
        <v>2.2425250000000001</v>
      </c>
      <c r="R20" s="619">
        <v>2.2190240000000001</v>
      </c>
      <c r="S20" s="620">
        <v>2.2190240000000006</v>
      </c>
      <c r="T20" s="621"/>
      <c r="U20" s="582">
        <v>33.1</v>
      </c>
      <c r="V20" s="582">
        <v>67</v>
      </c>
      <c r="W20" s="582">
        <v>0.05</v>
      </c>
      <c r="X20" s="582">
        <v>0.7</v>
      </c>
      <c r="Y20" s="583">
        <f>SUM(V20:X20)*U20/1000</f>
        <v>2.2425250000000001</v>
      </c>
    </row>
    <row r="21" spans="2:25" ht="15.6" x14ac:dyDescent="0.3">
      <c r="B21" s="584" t="s">
        <v>90</v>
      </c>
      <c r="C21" s="585" t="s">
        <v>54</v>
      </c>
      <c r="D21" s="168"/>
      <c r="E21" s="169"/>
      <c r="F21" s="169"/>
      <c r="G21" s="602" t="str">
        <f t="shared" si="1"/>
        <v/>
      </c>
      <c r="H21" s="587" t="str">
        <f t="shared" si="2"/>
        <v/>
      </c>
      <c r="I21" s="588" t="str">
        <f t="shared" si="3"/>
        <v/>
      </c>
      <c r="J21" s="588" t="str">
        <f t="shared" si="4"/>
        <v/>
      </c>
      <c r="K21" s="589" t="str">
        <f t="shared" si="5"/>
        <v/>
      </c>
      <c r="L21" s="590"/>
      <c r="M21" s="591"/>
      <c r="N21" s="618">
        <f t="shared" si="6"/>
        <v>2.5837279999999998</v>
      </c>
      <c r="O21" s="619">
        <v>2.5837279999999998</v>
      </c>
      <c r="P21" s="619">
        <v>2.5837279999999998</v>
      </c>
      <c r="Q21" s="619">
        <v>2.5837279999999998</v>
      </c>
      <c r="R21" s="619">
        <v>2.5616479999999999</v>
      </c>
      <c r="S21" s="620">
        <v>2.5616479999999999</v>
      </c>
      <c r="T21" s="621"/>
      <c r="U21" s="582">
        <v>36.799999999999997</v>
      </c>
      <c r="V21" s="582">
        <v>69.599999999999994</v>
      </c>
      <c r="W21" s="582">
        <v>0.01</v>
      </c>
      <c r="X21" s="582">
        <v>0.6</v>
      </c>
      <c r="Y21" s="583">
        <f t="shared" ref="Y21:Y27" si="7">SUM(V21:X21)*U21/1000</f>
        <v>2.5837279999999998</v>
      </c>
    </row>
    <row r="22" spans="2:25" ht="15.6" x14ac:dyDescent="0.3">
      <c r="B22" s="584" t="s">
        <v>104</v>
      </c>
      <c r="C22" s="585" t="s">
        <v>54</v>
      </c>
      <c r="D22" s="157"/>
      <c r="E22" s="158"/>
      <c r="F22" s="158"/>
      <c r="G22" s="602" t="str">
        <f t="shared" si="1"/>
        <v/>
      </c>
      <c r="H22" s="587" t="str">
        <f t="shared" si="2"/>
        <v/>
      </c>
      <c r="I22" s="588" t="str">
        <f t="shared" si="3"/>
        <v/>
      </c>
      <c r="J22" s="588" t="str">
        <f t="shared" si="4"/>
        <v/>
      </c>
      <c r="K22" s="589" t="str">
        <f t="shared" si="5"/>
        <v/>
      </c>
      <c r="L22" s="590"/>
      <c r="M22" s="591"/>
      <c r="N22" s="618">
        <f t="shared" si="6"/>
        <v>2.9485189999999992</v>
      </c>
      <c r="O22" s="619">
        <v>2.9485189999999992</v>
      </c>
      <c r="P22" s="619">
        <v>2.9485189999999992</v>
      </c>
      <c r="Q22" s="619">
        <v>2.9485189999999992</v>
      </c>
      <c r="R22" s="619">
        <v>2.9203320000000001</v>
      </c>
      <c r="S22" s="620">
        <v>2.9203320000000001</v>
      </c>
      <c r="T22" s="621"/>
      <c r="U22" s="582">
        <v>39.700000000000003</v>
      </c>
      <c r="V22" s="582">
        <v>73.599999999999994</v>
      </c>
      <c r="W22" s="582">
        <v>7.0000000000000007E-2</v>
      </c>
      <c r="X22" s="582">
        <v>0.6</v>
      </c>
      <c r="Y22" s="583">
        <f t="shared" si="7"/>
        <v>2.9485189999999992</v>
      </c>
    </row>
    <row r="23" spans="2:25" ht="15.6" x14ac:dyDescent="0.3">
      <c r="B23" s="584" t="s">
        <v>105</v>
      </c>
      <c r="C23" s="585" t="s">
        <v>54</v>
      </c>
      <c r="D23" s="157"/>
      <c r="E23" s="158"/>
      <c r="F23" s="158"/>
      <c r="G23" s="602" t="str">
        <f t="shared" si="1"/>
        <v/>
      </c>
      <c r="H23" s="587" t="str">
        <f t="shared" si="2"/>
        <v/>
      </c>
      <c r="I23" s="588" t="str">
        <f t="shared" si="3"/>
        <v/>
      </c>
      <c r="J23" s="588" t="str">
        <f t="shared" si="4"/>
        <v/>
      </c>
      <c r="K23" s="589" t="str">
        <f t="shared" si="5"/>
        <v/>
      </c>
      <c r="L23" s="590"/>
      <c r="M23" s="591"/>
      <c r="N23" s="618">
        <f t="shared" si="6"/>
        <v>8.9959999999999998E-2</v>
      </c>
      <c r="O23" s="619">
        <v>8.9959999999999998E-2</v>
      </c>
      <c r="P23" s="619">
        <v>8.9959999999999998E-2</v>
      </c>
      <c r="Q23" s="619">
        <v>8.9959999999999998E-2</v>
      </c>
      <c r="R23" s="619">
        <v>0.11764000000000001</v>
      </c>
      <c r="S23" s="620">
        <v>0.11764000000000001</v>
      </c>
      <c r="T23" s="621"/>
      <c r="U23" s="582">
        <v>34.6</v>
      </c>
      <c r="V23" s="582">
        <v>0</v>
      </c>
      <c r="W23" s="582">
        <v>0.7</v>
      </c>
      <c r="X23" s="582">
        <v>1.9</v>
      </c>
      <c r="Y23" s="583">
        <f t="shared" si="7"/>
        <v>8.9959999999999998E-2</v>
      </c>
    </row>
    <row r="24" spans="2:25" ht="15.6" x14ac:dyDescent="0.3">
      <c r="B24" s="584" t="s">
        <v>106</v>
      </c>
      <c r="C24" s="585" t="s">
        <v>54</v>
      </c>
      <c r="D24" s="157"/>
      <c r="E24" s="158"/>
      <c r="F24" s="158"/>
      <c r="G24" s="602" t="str">
        <f t="shared" si="1"/>
        <v/>
      </c>
      <c r="H24" s="587" t="str">
        <f t="shared" si="2"/>
        <v/>
      </c>
      <c r="I24" s="588" t="str">
        <f t="shared" si="3"/>
        <v/>
      </c>
      <c r="J24" s="588" t="str">
        <f t="shared" si="4"/>
        <v/>
      </c>
      <c r="K24" s="589" t="str">
        <f t="shared" si="5"/>
        <v/>
      </c>
      <c r="L24" s="590"/>
      <c r="M24" s="591"/>
      <c r="N24" s="618">
        <f t="shared" si="6"/>
        <v>2.3126040000000003</v>
      </c>
      <c r="O24" s="619">
        <v>2.3126040000000003</v>
      </c>
      <c r="P24" s="619">
        <v>2.3126040000000003</v>
      </c>
      <c r="Q24" s="619">
        <v>2.3126040000000003</v>
      </c>
      <c r="R24" s="619">
        <v>2.3803200000000002</v>
      </c>
      <c r="S24" s="620">
        <v>2.3803200000000002</v>
      </c>
      <c r="T24" s="621"/>
      <c r="U24" s="582">
        <v>34.200000000000003</v>
      </c>
      <c r="V24" s="582">
        <v>67.400000000000006</v>
      </c>
      <c r="W24" s="582">
        <v>0.02</v>
      </c>
      <c r="X24" s="582">
        <v>0.2</v>
      </c>
      <c r="Y24" s="583">
        <f t="shared" si="7"/>
        <v>2.3126040000000003</v>
      </c>
    </row>
    <row r="25" spans="2:25" ht="15.6" x14ac:dyDescent="0.3">
      <c r="B25" s="584" t="s">
        <v>107</v>
      </c>
      <c r="C25" s="585" t="s">
        <v>54</v>
      </c>
      <c r="D25" s="157"/>
      <c r="E25" s="158"/>
      <c r="F25" s="158"/>
      <c r="G25" s="602" t="str">
        <f t="shared" si="1"/>
        <v/>
      </c>
      <c r="H25" s="587" t="str">
        <f t="shared" si="2"/>
        <v/>
      </c>
      <c r="I25" s="588" t="str">
        <f t="shared" si="3"/>
        <v/>
      </c>
      <c r="J25" s="588" t="str">
        <f t="shared" si="4"/>
        <v/>
      </c>
      <c r="K25" s="589" t="str">
        <f t="shared" si="5"/>
        <v/>
      </c>
      <c r="L25" s="590"/>
      <c r="M25" s="591"/>
      <c r="N25" s="618">
        <f t="shared" si="6"/>
        <v>2.721686</v>
      </c>
      <c r="O25" s="619">
        <v>2.721686</v>
      </c>
      <c r="P25" s="619">
        <v>2.721686</v>
      </c>
      <c r="Q25" s="619">
        <v>2.721686</v>
      </c>
      <c r="R25" s="619">
        <v>2.6981400000000004</v>
      </c>
      <c r="S25" s="620">
        <v>2.6981400000000004</v>
      </c>
      <c r="T25" s="621"/>
      <c r="U25" s="582">
        <v>38.6</v>
      </c>
      <c r="V25" s="582">
        <v>69.900000000000006</v>
      </c>
      <c r="W25" s="582">
        <v>0.01</v>
      </c>
      <c r="X25" s="582">
        <v>0.6</v>
      </c>
      <c r="Y25" s="583">
        <f t="shared" si="7"/>
        <v>2.721686</v>
      </c>
    </row>
    <row r="26" spans="2:25" ht="15.6" x14ac:dyDescent="0.3">
      <c r="B26" s="584" t="s">
        <v>108</v>
      </c>
      <c r="C26" s="585" t="s">
        <v>54</v>
      </c>
      <c r="D26" s="157"/>
      <c r="E26" s="158"/>
      <c r="F26" s="158"/>
      <c r="G26" s="602" t="str">
        <f t="shared" si="1"/>
        <v/>
      </c>
      <c r="H26" s="587" t="str">
        <f t="shared" si="2"/>
        <v/>
      </c>
      <c r="I26" s="588" t="str">
        <f t="shared" si="3"/>
        <v/>
      </c>
      <c r="J26" s="588" t="str">
        <f t="shared" si="4"/>
        <v/>
      </c>
      <c r="K26" s="589" t="str">
        <f t="shared" si="5"/>
        <v/>
      </c>
      <c r="L26" s="590"/>
      <c r="M26" s="591"/>
      <c r="N26" s="618">
        <f t="shared" si="6"/>
        <v>1.59558</v>
      </c>
      <c r="O26" s="619">
        <v>1.59558</v>
      </c>
      <c r="P26" s="619">
        <v>1.59558</v>
      </c>
      <c r="Q26" s="619">
        <v>1.59558</v>
      </c>
      <c r="R26" s="619">
        <v>1.5929599999999999</v>
      </c>
      <c r="S26" s="620">
        <v>1.5929599999999999</v>
      </c>
      <c r="T26" s="621"/>
      <c r="U26" s="582">
        <v>26.2</v>
      </c>
      <c r="V26" s="582">
        <v>60.2</v>
      </c>
      <c r="W26" s="582">
        <v>0.4</v>
      </c>
      <c r="X26" s="582">
        <v>0.3</v>
      </c>
      <c r="Y26" s="583">
        <f t="shared" si="7"/>
        <v>1.59558</v>
      </c>
    </row>
    <row r="27" spans="2:25" ht="15.6" x14ac:dyDescent="0.3">
      <c r="B27" s="584" t="s">
        <v>109</v>
      </c>
      <c r="C27" s="585" t="s">
        <v>54</v>
      </c>
      <c r="D27" s="157"/>
      <c r="E27" s="158"/>
      <c r="F27" s="158"/>
      <c r="G27" s="602" t="str">
        <f>IF(CONCATENATE(D27,E27,F27)="","",SUM(D27:F27))</f>
        <v/>
      </c>
      <c r="H27" s="587" t="str">
        <f>IF(D27="","",IF($C27="L",D27*$N27/1000,D27*$N27))</f>
        <v/>
      </c>
      <c r="I27" s="588" t="str">
        <f>IF(E27="","",IF($C27="L",E27*$N27/1000,E27*$N27))</f>
        <v/>
      </c>
      <c r="J27" s="588" t="str">
        <f>IF(F27="","",IF($C27="L",F27*$N27/1000,F27*$N27))</f>
        <v/>
      </c>
      <c r="K27" s="589" t="str">
        <f>IF(CONCATENATE(H27,I27,J27)="","",SUM(H27:J27))</f>
        <v/>
      </c>
      <c r="L27" s="590"/>
      <c r="M27" s="591"/>
      <c r="N27" s="618">
        <f t="shared" si="6"/>
        <v>9.3600000000000003E-3</v>
      </c>
      <c r="O27" s="619">
        <v>9.3600000000000003E-3</v>
      </c>
      <c r="P27" s="619">
        <v>9.3600000000000003E-3</v>
      </c>
      <c r="Q27" s="619">
        <v>9.3600000000000003E-3</v>
      </c>
      <c r="R27" s="619">
        <v>7.9560000000000006E-2</v>
      </c>
      <c r="S27" s="620">
        <v>7.9560000000000006E-2</v>
      </c>
      <c r="T27" s="621"/>
      <c r="U27" s="582">
        <v>23.4</v>
      </c>
      <c r="V27" s="582">
        <v>0</v>
      </c>
      <c r="W27" s="582">
        <v>0.2</v>
      </c>
      <c r="X27" s="582">
        <v>0.2</v>
      </c>
      <c r="Y27" s="583">
        <f t="shared" si="7"/>
        <v>9.3600000000000003E-3</v>
      </c>
    </row>
    <row r="28" spans="2:25" ht="15.6" x14ac:dyDescent="0.3">
      <c r="B28" s="596" t="s">
        <v>74</v>
      </c>
      <c r="C28" s="597" t="s">
        <v>182</v>
      </c>
      <c r="D28" s="587"/>
      <c r="E28" s="588"/>
      <c r="F28" s="588"/>
      <c r="G28" s="602"/>
      <c r="H28" s="600">
        <f>SUM(H20:H27)</f>
        <v>0</v>
      </c>
      <c r="I28" s="601">
        <f>SUM(I20:I27)</f>
        <v>0</v>
      </c>
      <c r="J28" s="601">
        <f>SUM(J20:J27)</f>
        <v>0</v>
      </c>
      <c r="K28" s="602">
        <f>SUM(K20:K27)</f>
        <v>0</v>
      </c>
      <c r="L28" s="622"/>
      <c r="M28" s="623"/>
      <c r="N28" s="668"/>
      <c r="O28" s="619"/>
      <c r="P28" s="619"/>
      <c r="Q28" s="619"/>
      <c r="R28" s="619"/>
      <c r="S28" s="620"/>
      <c r="T28" s="624"/>
      <c r="U28" s="669"/>
      <c r="V28" s="669"/>
      <c r="W28" s="669"/>
      <c r="X28" s="669"/>
      <c r="Y28" s="583"/>
    </row>
    <row r="29" spans="2:25" ht="7.5" customHeight="1" x14ac:dyDescent="0.3">
      <c r="B29" s="584"/>
      <c r="C29" s="585"/>
      <c r="D29" s="587"/>
      <c r="E29" s="588"/>
      <c r="F29" s="588"/>
      <c r="G29" s="602"/>
      <c r="H29" s="606"/>
      <c r="I29" s="607"/>
      <c r="J29" s="607"/>
      <c r="K29" s="608"/>
      <c r="L29" s="609"/>
      <c r="M29" s="578"/>
      <c r="N29" s="668"/>
      <c r="O29" s="619"/>
      <c r="P29" s="619"/>
      <c r="Q29" s="619"/>
      <c r="R29" s="619"/>
      <c r="S29" s="620"/>
      <c r="T29" s="618"/>
      <c r="U29" s="669"/>
      <c r="V29" s="669"/>
      <c r="W29" s="669"/>
      <c r="X29" s="669"/>
      <c r="Y29" s="583"/>
    </row>
    <row r="30" spans="2:25" ht="15.6" x14ac:dyDescent="0.3">
      <c r="B30" s="612" t="s">
        <v>307</v>
      </c>
      <c r="C30" s="613"/>
      <c r="D30" s="625"/>
      <c r="E30" s="626"/>
      <c r="F30" s="626"/>
      <c r="G30" s="627"/>
      <c r="H30" s="615"/>
      <c r="I30" s="616"/>
      <c r="J30" s="616"/>
      <c r="K30" s="617"/>
      <c r="L30" s="575"/>
      <c r="M30" s="576"/>
      <c r="N30" s="668"/>
      <c r="O30" s="619"/>
      <c r="P30" s="619"/>
      <c r="Q30" s="619"/>
      <c r="R30" s="619"/>
      <c r="S30" s="620"/>
      <c r="T30" s="628"/>
      <c r="U30" s="669"/>
      <c r="V30" s="669"/>
      <c r="W30" s="669"/>
      <c r="X30" s="669"/>
      <c r="Y30" s="583"/>
    </row>
    <row r="31" spans="2:25" ht="15.6" x14ac:dyDescent="0.3">
      <c r="B31" s="629" t="s">
        <v>86</v>
      </c>
      <c r="C31" s="585" t="s">
        <v>54</v>
      </c>
      <c r="D31" s="168"/>
      <c r="E31" s="169"/>
      <c r="F31" s="169"/>
      <c r="G31" s="602" t="str">
        <f t="shared" ref="G31:G38" si="8">IF(CONCATENATE(D31,E31,F31)="","",SUM(D31:F31))</f>
        <v/>
      </c>
      <c r="H31" s="587" t="str">
        <f>IF(D31="","",IF($C31="L",D31*$N31/1000,D31*$N31))</f>
        <v/>
      </c>
      <c r="I31" s="588" t="str">
        <f>IF(E31="","",IF($C31="L",E31*$N31/1000,E31*$N31))</f>
        <v/>
      </c>
      <c r="J31" s="588" t="str">
        <f>IF(F31="","",IF($C31="L",F31*$N31/1000,F31*$N31))</f>
        <v/>
      </c>
      <c r="K31" s="589" t="str">
        <f t="shared" ref="K31:K38" si="9">IF(CONCATENATE(H31,I31,J31)="","",SUM(H31:J31))</f>
        <v/>
      </c>
      <c r="L31" s="590"/>
      <c r="M31" s="591"/>
      <c r="N31" s="618">
        <f t="shared" ref="N31:N39" si="10">Y31</f>
        <v>0.53931999999999991</v>
      </c>
      <c r="O31" s="619">
        <v>0.53931999999999991</v>
      </c>
      <c r="P31" s="619">
        <v>0.53931999999999991</v>
      </c>
      <c r="Q31" s="619">
        <v>0.53931999999999991</v>
      </c>
      <c r="R31" s="619">
        <v>1.0825199999999997</v>
      </c>
      <c r="S31" s="620">
        <v>1.0825199999999997</v>
      </c>
      <c r="T31" s="621"/>
      <c r="U31" s="582">
        <v>38.799999999999997</v>
      </c>
      <c r="V31" s="582">
        <v>13.9</v>
      </c>
      <c r="W31" s="582">
        <v>0</v>
      </c>
      <c r="X31" s="582">
        <v>0</v>
      </c>
      <c r="Y31" s="583">
        <f>SUM(V31:X31)*U31/1000</f>
        <v>0.53931999999999991</v>
      </c>
    </row>
    <row r="32" spans="2:25" ht="15.6" x14ac:dyDescent="0.3">
      <c r="B32" s="629" t="s">
        <v>87</v>
      </c>
      <c r="C32" s="585" t="s">
        <v>54</v>
      </c>
      <c r="D32" s="168"/>
      <c r="E32" s="169"/>
      <c r="F32" s="169"/>
      <c r="G32" s="602" t="str">
        <f t="shared" si="8"/>
        <v/>
      </c>
      <c r="H32" s="587" t="str">
        <f t="shared" ref="H32:H37" si="11">IF(D32="","",IF($C32="L",D32*$N32/1000,D32*$N32))</f>
        <v/>
      </c>
      <c r="I32" s="588" t="str">
        <f t="shared" ref="I32:I37" si="12">IF(E32="","",IF($C32="L",E32*$N32/1000,E32*$N32))</f>
        <v/>
      </c>
      <c r="J32" s="588" t="str">
        <f t="shared" ref="J32:J37" si="13">IF(F32="","",IF($C32="L",F32*$N32/1000,F32*$N32))</f>
        <v/>
      </c>
      <c r="K32" s="589" t="str">
        <f t="shared" si="9"/>
        <v/>
      </c>
      <c r="L32" s="590"/>
      <c r="M32" s="591"/>
      <c r="N32" s="618">
        <f t="shared" si="10"/>
        <v>2.3187600000000006</v>
      </c>
      <c r="O32" s="619">
        <v>2.3187600000000006</v>
      </c>
      <c r="P32" s="619">
        <v>2.3187600000000006</v>
      </c>
      <c r="Q32" s="619">
        <v>2.3187600000000006</v>
      </c>
      <c r="R32" s="619">
        <v>2.2948200000000005</v>
      </c>
      <c r="S32" s="620">
        <v>2.2948200000000005</v>
      </c>
      <c r="T32" s="621"/>
      <c r="U32" s="582">
        <v>34.200000000000003</v>
      </c>
      <c r="V32" s="582">
        <v>67.400000000000006</v>
      </c>
      <c r="W32" s="582">
        <v>0.2</v>
      </c>
      <c r="X32" s="582">
        <v>0.2</v>
      </c>
      <c r="Y32" s="583">
        <f t="shared" ref="Y32:Y39" si="14">SUM(V32:X32)*U32/1000</f>
        <v>2.3187600000000006</v>
      </c>
    </row>
    <row r="33" spans="2:25" ht="15.6" x14ac:dyDescent="0.3">
      <c r="B33" s="629" t="s">
        <v>88</v>
      </c>
      <c r="C33" s="585" t="s">
        <v>54</v>
      </c>
      <c r="D33" s="168"/>
      <c r="E33" s="169"/>
      <c r="F33" s="169"/>
      <c r="G33" s="602" t="str">
        <f t="shared" si="8"/>
        <v/>
      </c>
      <c r="H33" s="587" t="str">
        <f t="shared" si="11"/>
        <v/>
      </c>
      <c r="I33" s="588" t="str">
        <f t="shared" si="12"/>
        <v/>
      </c>
      <c r="J33" s="588" t="str">
        <f t="shared" si="13"/>
        <v/>
      </c>
      <c r="K33" s="589" t="str">
        <f t="shared" si="9"/>
        <v/>
      </c>
      <c r="L33" s="590"/>
      <c r="M33" s="591"/>
      <c r="N33" s="618">
        <f t="shared" si="10"/>
        <v>2.5912500000000005</v>
      </c>
      <c r="O33" s="619">
        <v>2.5912500000000005</v>
      </c>
      <c r="P33" s="619">
        <v>2.5912500000000005</v>
      </c>
      <c r="Q33" s="619">
        <v>2.5912500000000005</v>
      </c>
      <c r="R33" s="619">
        <v>2.5653750000000004</v>
      </c>
      <c r="S33" s="620">
        <v>2.5653750000000004</v>
      </c>
      <c r="T33" s="621"/>
      <c r="U33" s="582">
        <v>37.5</v>
      </c>
      <c r="V33" s="582">
        <v>68.900000000000006</v>
      </c>
      <c r="W33" s="582">
        <v>0</v>
      </c>
      <c r="X33" s="582">
        <v>0.2</v>
      </c>
      <c r="Y33" s="583">
        <f t="shared" si="14"/>
        <v>2.5912500000000005</v>
      </c>
    </row>
    <row r="34" spans="2:25" ht="15.6" x14ac:dyDescent="0.3">
      <c r="B34" s="629" t="s">
        <v>67</v>
      </c>
      <c r="C34" s="585" t="s">
        <v>54</v>
      </c>
      <c r="D34" s="168"/>
      <c r="E34" s="169"/>
      <c r="F34" s="158"/>
      <c r="G34" s="602" t="str">
        <f t="shared" si="8"/>
        <v/>
      </c>
      <c r="H34" s="587" t="str">
        <f t="shared" si="11"/>
        <v/>
      </c>
      <c r="I34" s="588" t="str">
        <f t="shared" si="12"/>
        <v/>
      </c>
      <c r="J34" s="588" t="str">
        <f t="shared" si="13"/>
        <v/>
      </c>
      <c r="K34" s="589" t="str">
        <f t="shared" si="9"/>
        <v/>
      </c>
      <c r="L34" s="590"/>
      <c r="M34" s="591"/>
      <c r="N34" s="618">
        <f t="shared" si="10"/>
        <v>2.6009290000000003</v>
      </c>
      <c r="O34" s="619">
        <v>2.6009290000000003</v>
      </c>
      <c r="P34" s="619">
        <v>2.6009290000000003</v>
      </c>
      <c r="Q34" s="619">
        <v>2.6009290000000003</v>
      </c>
      <c r="R34" s="619">
        <v>2.5744459999999996</v>
      </c>
      <c r="S34" s="620">
        <v>2.5744459999999996</v>
      </c>
      <c r="T34" s="621"/>
      <c r="U34" s="582">
        <v>37.299999999999997</v>
      </c>
      <c r="V34" s="582">
        <v>69.5</v>
      </c>
      <c r="W34" s="582">
        <v>0.03</v>
      </c>
      <c r="X34" s="582">
        <v>0.2</v>
      </c>
      <c r="Y34" s="583">
        <f t="shared" si="14"/>
        <v>2.6009290000000003</v>
      </c>
    </row>
    <row r="35" spans="2:25" ht="15.6" x14ac:dyDescent="0.3">
      <c r="B35" s="629" t="s">
        <v>68</v>
      </c>
      <c r="C35" s="585" t="s">
        <v>54</v>
      </c>
      <c r="D35" s="168"/>
      <c r="E35" s="169"/>
      <c r="F35" s="158"/>
      <c r="G35" s="602" t="str">
        <f t="shared" si="8"/>
        <v/>
      </c>
      <c r="H35" s="587" t="str">
        <f t="shared" si="11"/>
        <v/>
      </c>
      <c r="I35" s="588" t="str">
        <f t="shared" si="12"/>
        <v/>
      </c>
      <c r="J35" s="588" t="str">
        <f t="shared" si="13"/>
        <v/>
      </c>
      <c r="K35" s="589" t="str">
        <f t="shared" si="9"/>
        <v/>
      </c>
      <c r="L35" s="590"/>
      <c r="M35" s="591"/>
      <c r="N35" s="618">
        <f t="shared" si="10"/>
        <v>2.7097200000000004</v>
      </c>
      <c r="O35" s="619">
        <v>2.7097200000000004</v>
      </c>
      <c r="P35" s="619">
        <v>2.7097200000000004</v>
      </c>
      <c r="Q35" s="619">
        <v>2.7097200000000004</v>
      </c>
      <c r="R35" s="619">
        <v>2.6827000000000001</v>
      </c>
      <c r="S35" s="620">
        <v>2.6827000000000001</v>
      </c>
      <c r="T35" s="621"/>
      <c r="U35" s="582">
        <v>38.6</v>
      </c>
      <c r="V35" s="582">
        <v>69.900000000000006</v>
      </c>
      <c r="W35" s="582">
        <v>0.1</v>
      </c>
      <c r="X35" s="582">
        <v>0.2</v>
      </c>
      <c r="Y35" s="583">
        <f t="shared" si="14"/>
        <v>2.7097200000000004</v>
      </c>
    </row>
    <row r="36" spans="2:25" ht="15.6" x14ac:dyDescent="0.3">
      <c r="B36" s="629" t="s">
        <v>56</v>
      </c>
      <c r="C36" s="585" t="s">
        <v>54</v>
      </c>
      <c r="D36" s="168"/>
      <c r="E36" s="169"/>
      <c r="F36" s="169"/>
      <c r="G36" s="602" t="str">
        <f t="shared" si="8"/>
        <v/>
      </c>
      <c r="H36" s="587" t="str">
        <f t="shared" si="11"/>
        <v/>
      </c>
      <c r="I36" s="588" t="str">
        <f t="shared" si="12"/>
        <v/>
      </c>
      <c r="J36" s="588" t="str">
        <f t="shared" si="13"/>
        <v/>
      </c>
      <c r="K36" s="589" t="str">
        <f t="shared" si="9"/>
        <v/>
      </c>
      <c r="L36" s="590"/>
      <c r="M36" s="591"/>
      <c r="N36" s="618">
        <f t="shared" si="10"/>
        <v>2.9314480000000005</v>
      </c>
      <c r="O36" s="619">
        <v>2.9314480000000005</v>
      </c>
      <c r="P36" s="619">
        <v>2.9314480000000005</v>
      </c>
      <c r="Q36" s="619">
        <v>2.9314480000000005</v>
      </c>
      <c r="R36" s="619">
        <v>2.9032610000000005</v>
      </c>
      <c r="S36" s="620">
        <v>2.9032610000000005</v>
      </c>
      <c r="T36" s="621"/>
      <c r="U36" s="582">
        <v>39.700000000000003</v>
      </c>
      <c r="V36" s="582">
        <v>73.599999999999994</v>
      </c>
      <c r="W36" s="582">
        <v>0.04</v>
      </c>
      <c r="X36" s="582">
        <v>0.2</v>
      </c>
      <c r="Y36" s="583">
        <f t="shared" si="14"/>
        <v>2.9314480000000005</v>
      </c>
    </row>
    <row r="37" spans="2:25" ht="15.6" x14ac:dyDescent="0.3">
      <c r="B37" s="629" t="s">
        <v>69</v>
      </c>
      <c r="C37" s="585" t="s">
        <v>54</v>
      </c>
      <c r="D37" s="168"/>
      <c r="E37" s="169"/>
      <c r="F37" s="169"/>
      <c r="G37" s="602" t="str">
        <f t="shared" si="8"/>
        <v/>
      </c>
      <c r="H37" s="587" t="str">
        <f t="shared" si="11"/>
        <v/>
      </c>
      <c r="I37" s="588" t="str">
        <f t="shared" si="12"/>
        <v/>
      </c>
      <c r="J37" s="588" t="str">
        <f t="shared" si="13"/>
        <v/>
      </c>
      <c r="K37" s="589" t="str">
        <f t="shared" si="9"/>
        <v/>
      </c>
      <c r="L37" s="590"/>
      <c r="M37" s="591"/>
      <c r="N37" s="618">
        <f t="shared" si="10"/>
        <v>1.55742</v>
      </c>
      <c r="O37" s="619">
        <v>1.55742</v>
      </c>
      <c r="P37" s="619">
        <v>1.55742</v>
      </c>
      <c r="Q37" s="619">
        <v>1.55742</v>
      </c>
      <c r="R37" s="619">
        <v>1.5394300000000001</v>
      </c>
      <c r="S37" s="620">
        <v>1.5394300000000001</v>
      </c>
      <c r="T37" s="621"/>
      <c r="U37" s="582">
        <v>25.7</v>
      </c>
      <c r="V37" s="582">
        <v>60.2</v>
      </c>
      <c r="W37" s="582">
        <v>0.2</v>
      </c>
      <c r="X37" s="582">
        <v>0.2</v>
      </c>
      <c r="Y37" s="583">
        <f t="shared" si="14"/>
        <v>1.55742</v>
      </c>
    </row>
    <row r="38" spans="2:25" ht="15.6" x14ac:dyDescent="0.3">
      <c r="B38" s="629" t="s">
        <v>55</v>
      </c>
      <c r="C38" s="585" t="s">
        <v>54</v>
      </c>
      <c r="D38" s="168"/>
      <c r="E38" s="169"/>
      <c r="F38" s="169"/>
      <c r="G38" s="602" t="str">
        <f t="shared" si="8"/>
        <v/>
      </c>
      <c r="H38" s="587" t="str">
        <f t="shared" ref="H38:J39" si="15">IF(D38="","",IF($C38="L",D38*$N38/1000,D38*$N38))</f>
        <v/>
      </c>
      <c r="I38" s="588" t="str">
        <f t="shared" si="15"/>
        <v/>
      </c>
      <c r="J38" s="588" t="str">
        <f t="shared" si="15"/>
        <v/>
      </c>
      <c r="K38" s="589" t="str">
        <f t="shared" si="9"/>
        <v/>
      </c>
      <c r="L38" s="590"/>
      <c r="M38" s="591"/>
      <c r="N38" s="618">
        <f t="shared" si="10"/>
        <v>9.3420000000000013E-3</v>
      </c>
      <c r="O38" s="619">
        <v>9.3420000000000013E-3</v>
      </c>
      <c r="P38" s="619">
        <v>9.3420000000000013E-3</v>
      </c>
      <c r="Q38" s="619">
        <v>9.3420000000000013E-3</v>
      </c>
      <c r="R38" s="619">
        <v>8.9960000000000005E-3</v>
      </c>
      <c r="S38" s="620">
        <v>8.9960000000000005E-3</v>
      </c>
      <c r="T38" s="621"/>
      <c r="U38" s="582">
        <v>34.6</v>
      </c>
      <c r="V38" s="582">
        <v>0</v>
      </c>
      <c r="W38" s="582">
        <v>7.0000000000000007E-2</v>
      </c>
      <c r="X38" s="582">
        <v>0.2</v>
      </c>
      <c r="Y38" s="583">
        <f t="shared" si="14"/>
        <v>9.3420000000000013E-3</v>
      </c>
    </row>
    <row r="39" spans="2:25" ht="15.6" x14ac:dyDescent="0.3">
      <c r="B39" s="629" t="s">
        <v>102</v>
      </c>
      <c r="C39" s="585" t="s">
        <v>54</v>
      </c>
      <c r="D39" s="168"/>
      <c r="E39" s="169"/>
      <c r="F39" s="169"/>
      <c r="G39" s="602" t="str">
        <f>IF(CONCATENATE(D39,E39,F39)="","",SUM(D39:F39))</f>
        <v/>
      </c>
      <c r="H39" s="587" t="str">
        <f t="shared" si="15"/>
        <v/>
      </c>
      <c r="I39" s="588" t="str">
        <f t="shared" si="15"/>
        <v/>
      </c>
      <c r="J39" s="588" t="str">
        <f t="shared" si="15"/>
        <v/>
      </c>
      <c r="K39" s="589" t="str">
        <f>IF(CONCATENATE(H39,I39,J39)="","",SUM(H39:J39))</f>
        <v/>
      </c>
      <c r="L39" s="590"/>
      <c r="M39" s="591"/>
      <c r="N39" s="618">
        <f t="shared" si="10"/>
        <v>6.3179999999999998E-3</v>
      </c>
      <c r="O39" s="619">
        <v>6.3179999999999998E-3</v>
      </c>
      <c r="P39" s="619">
        <v>6.3179999999999998E-3</v>
      </c>
      <c r="Q39" s="619">
        <v>6.3179999999999998E-3</v>
      </c>
      <c r="R39" s="619">
        <v>6.084E-3</v>
      </c>
      <c r="S39" s="620">
        <v>6.084E-3</v>
      </c>
      <c r="T39" s="621"/>
      <c r="U39" s="582">
        <v>23.4</v>
      </c>
      <c r="V39" s="582">
        <v>0</v>
      </c>
      <c r="W39" s="582">
        <v>7.0000000000000007E-2</v>
      </c>
      <c r="X39" s="582">
        <v>0.2</v>
      </c>
      <c r="Y39" s="583">
        <f t="shared" si="14"/>
        <v>6.3179999999999998E-3</v>
      </c>
    </row>
    <row r="40" spans="2:25" ht="15.6" x14ac:dyDescent="0.3">
      <c r="B40" s="596" t="s">
        <v>74</v>
      </c>
      <c r="C40" s="597" t="s">
        <v>182</v>
      </c>
      <c r="D40" s="587"/>
      <c r="E40" s="588"/>
      <c r="F40" s="588"/>
      <c r="G40" s="602"/>
      <c r="H40" s="600">
        <f>SUM(H31:H39)</f>
        <v>0</v>
      </c>
      <c r="I40" s="601">
        <f>SUM(I31:I39)</f>
        <v>0</v>
      </c>
      <c r="J40" s="601">
        <f>SUM(J31:J39)</f>
        <v>0</v>
      </c>
      <c r="K40" s="602">
        <f>SUM(K31:K39)</f>
        <v>0</v>
      </c>
      <c r="L40" s="622"/>
      <c r="M40" s="623"/>
      <c r="N40" s="668"/>
      <c r="O40" s="619"/>
      <c r="P40" s="619"/>
      <c r="Q40" s="619"/>
      <c r="R40" s="619"/>
      <c r="S40" s="620"/>
      <c r="T40" s="621"/>
      <c r="U40" s="669"/>
      <c r="V40" s="669"/>
      <c r="W40" s="669"/>
      <c r="X40" s="669"/>
      <c r="Y40" s="583"/>
    </row>
    <row r="41" spans="2:25" ht="7.5" customHeight="1" x14ac:dyDescent="0.3">
      <c r="B41" s="629"/>
      <c r="C41" s="585"/>
      <c r="D41" s="587"/>
      <c r="E41" s="588"/>
      <c r="F41" s="588"/>
      <c r="G41" s="602"/>
      <c r="H41" s="606"/>
      <c r="I41" s="607"/>
      <c r="J41" s="607"/>
      <c r="K41" s="608"/>
      <c r="L41" s="609"/>
      <c r="M41" s="578"/>
      <c r="N41" s="668"/>
      <c r="O41" s="619"/>
      <c r="P41" s="619"/>
      <c r="Q41" s="619"/>
      <c r="R41" s="619"/>
      <c r="S41" s="620"/>
      <c r="T41" s="621"/>
      <c r="U41" s="669"/>
      <c r="V41" s="669"/>
      <c r="W41" s="669"/>
      <c r="X41" s="669"/>
      <c r="Y41" s="583"/>
    </row>
    <row r="42" spans="2:25" ht="15.6" x14ac:dyDescent="0.3">
      <c r="B42" s="612" t="s">
        <v>308</v>
      </c>
      <c r="C42" s="613"/>
      <c r="D42" s="625"/>
      <c r="E42" s="626"/>
      <c r="F42" s="626"/>
      <c r="G42" s="627"/>
      <c r="H42" s="615"/>
      <c r="I42" s="616"/>
      <c r="J42" s="616"/>
      <c r="K42" s="617"/>
      <c r="L42" s="575"/>
      <c r="M42" s="576"/>
      <c r="N42" s="668"/>
      <c r="O42" s="619"/>
      <c r="P42" s="619"/>
      <c r="Q42" s="619"/>
      <c r="R42" s="619"/>
      <c r="S42" s="620"/>
      <c r="T42" s="621"/>
      <c r="U42" s="669"/>
      <c r="V42" s="669"/>
      <c r="W42" s="669"/>
      <c r="X42" s="669"/>
      <c r="Y42" s="583"/>
    </row>
    <row r="43" spans="2:25" ht="15.6" x14ac:dyDescent="0.3">
      <c r="B43" s="629" t="s">
        <v>77</v>
      </c>
      <c r="C43" s="585" t="s">
        <v>70</v>
      </c>
      <c r="D43" s="168"/>
      <c r="E43" s="169"/>
      <c r="F43" s="169"/>
      <c r="G43" s="602" t="str">
        <f t="shared" ref="G43:G52" si="16">IF(CONCATENATE(D43,E43,F43)="","",SUM(D43:F43))</f>
        <v/>
      </c>
      <c r="H43" s="587" t="str">
        <f>IF(D43="","",IF($C43="kg",D43*$N43/1000,D43*$N43))</f>
        <v/>
      </c>
      <c r="I43" s="588" t="str">
        <f>IF(E43="","",IF($C43="kg",E43*$N43/1000,E43*$N43))</f>
        <v/>
      </c>
      <c r="J43" s="588" t="str">
        <f>IF(F43="","",IF($C43="kg",F43*$N43/1000,F43*$N43))</f>
        <v/>
      </c>
      <c r="K43" s="589" t="str">
        <f>IF(CONCATENATE(H43,I43,J43)="","",SUM(H43:J43))</f>
        <v/>
      </c>
      <c r="L43" s="590"/>
      <c r="M43" s="591"/>
      <c r="N43" s="618">
        <f t="shared" ref="N43:N53" si="17">Y43</f>
        <v>2.43621</v>
      </c>
      <c r="O43" s="619">
        <v>2.43621</v>
      </c>
      <c r="P43" s="619">
        <v>2.43621</v>
      </c>
      <c r="Q43" s="619">
        <v>2.43621</v>
      </c>
      <c r="R43" s="619">
        <v>2.38761</v>
      </c>
      <c r="S43" s="620">
        <v>2.38761</v>
      </c>
      <c r="T43" s="621"/>
      <c r="U43" s="582">
        <v>27</v>
      </c>
      <c r="V43" s="582">
        <v>90</v>
      </c>
      <c r="W43" s="582">
        <v>0.03</v>
      </c>
      <c r="X43" s="582">
        <v>0.2</v>
      </c>
      <c r="Y43" s="583">
        <f>SUM(V43:X43)*U43/1000</f>
        <v>2.43621</v>
      </c>
    </row>
    <row r="44" spans="2:25" ht="15.6" x14ac:dyDescent="0.3">
      <c r="B44" s="630" t="s">
        <v>60</v>
      </c>
      <c r="C44" s="585" t="s">
        <v>70</v>
      </c>
      <c r="D44" s="168"/>
      <c r="E44" s="169"/>
      <c r="F44" s="169"/>
      <c r="G44" s="602" t="str">
        <f t="shared" si="16"/>
        <v/>
      </c>
      <c r="H44" s="587" t="str">
        <f t="shared" ref="H44:H52" si="18">IF(D44="","",IF($C44="kg",D44*$N44/1000,D44*$N44))</f>
        <v/>
      </c>
      <c r="I44" s="588" t="str">
        <f t="shared" ref="I44:I53" si="19">IF(E44="","",IF($C44="kg",E44*$N44/1000,E44*$N44))</f>
        <v/>
      </c>
      <c r="J44" s="588" t="str">
        <f t="shared" ref="J44:J53" si="20">IF(F44="","",IF($C44="kg",F44*$N44/1000,F44*$N44))</f>
        <v/>
      </c>
      <c r="K44" s="589" t="str">
        <f t="shared" ref="K44:K52" si="21">IF(CONCATENATE(H44,I44,J44)="","",SUM(H44:J44))</f>
        <v/>
      </c>
      <c r="L44" s="590"/>
      <c r="M44" s="591"/>
      <c r="N44" s="618">
        <f t="shared" si="17"/>
        <v>0.95798399999999995</v>
      </c>
      <c r="O44" s="619">
        <v>0.95798399999999995</v>
      </c>
      <c r="P44" s="619">
        <v>0.95798399999999995</v>
      </c>
      <c r="Q44" s="619">
        <v>0.95798399999999995</v>
      </c>
      <c r="R44" s="619">
        <v>0.94972200000000007</v>
      </c>
      <c r="S44" s="620">
        <v>0.94972200000000007</v>
      </c>
      <c r="T44" s="621"/>
      <c r="U44" s="582">
        <v>10.199999999999999</v>
      </c>
      <c r="V44" s="582">
        <v>93.5</v>
      </c>
      <c r="W44" s="582">
        <v>0.02</v>
      </c>
      <c r="X44" s="582">
        <v>0.4</v>
      </c>
      <c r="Y44" s="583">
        <f t="shared" ref="Y44:Y53" si="22">SUM(V44:X44)*U44/1000</f>
        <v>0.95798399999999995</v>
      </c>
    </row>
    <row r="45" spans="2:25" ht="15.6" x14ac:dyDescent="0.3">
      <c r="B45" s="629" t="s">
        <v>61</v>
      </c>
      <c r="C45" s="585" t="s">
        <v>70</v>
      </c>
      <c r="D45" s="168"/>
      <c r="E45" s="169"/>
      <c r="F45" s="169"/>
      <c r="G45" s="602" t="str">
        <f t="shared" si="16"/>
        <v/>
      </c>
      <c r="H45" s="587" t="str">
        <f t="shared" si="18"/>
        <v/>
      </c>
      <c r="I45" s="588" t="str">
        <f t="shared" si="19"/>
        <v/>
      </c>
      <c r="J45" s="588" t="str">
        <f t="shared" si="20"/>
        <v/>
      </c>
      <c r="K45" s="589" t="str">
        <f t="shared" si="21"/>
        <v/>
      </c>
      <c r="L45" s="590"/>
      <c r="M45" s="591"/>
      <c r="N45" s="618">
        <f t="shared" si="17"/>
        <v>2.7605999999999997</v>
      </c>
      <c r="O45" s="619">
        <v>2.7605999999999997</v>
      </c>
      <c r="P45" s="619">
        <v>2.7605999999999997</v>
      </c>
      <c r="Q45" s="619">
        <v>2.7605999999999997</v>
      </c>
      <c r="R45" s="619">
        <v>2.7065999999999999</v>
      </c>
      <c r="S45" s="620">
        <v>2.7065999999999999</v>
      </c>
      <c r="T45" s="621"/>
      <c r="U45" s="582">
        <v>30</v>
      </c>
      <c r="V45" s="582">
        <v>91.8</v>
      </c>
      <c r="W45" s="582">
        <v>0.02</v>
      </c>
      <c r="X45" s="582">
        <v>0.2</v>
      </c>
      <c r="Y45" s="583">
        <f t="shared" si="22"/>
        <v>2.7605999999999997</v>
      </c>
    </row>
    <row r="46" spans="2:25" ht="15" customHeight="1" x14ac:dyDescent="0.3">
      <c r="B46" s="629" t="s">
        <v>62</v>
      </c>
      <c r="C46" s="585" t="s">
        <v>70</v>
      </c>
      <c r="D46" s="168"/>
      <c r="E46" s="169"/>
      <c r="F46" s="169"/>
      <c r="G46" s="602" t="str">
        <f t="shared" si="16"/>
        <v/>
      </c>
      <c r="H46" s="587" t="str">
        <f t="shared" si="18"/>
        <v/>
      </c>
      <c r="I46" s="588" t="str">
        <f t="shared" si="19"/>
        <v/>
      </c>
      <c r="J46" s="588" t="str">
        <f t="shared" si="20"/>
        <v/>
      </c>
      <c r="K46" s="589" t="str">
        <f t="shared" si="21"/>
        <v/>
      </c>
      <c r="L46" s="590"/>
      <c r="M46" s="591"/>
      <c r="N46" s="618">
        <f t="shared" si="17"/>
        <v>2.1076770000000002</v>
      </c>
      <c r="O46" s="619">
        <v>2.1076770000000002</v>
      </c>
      <c r="P46" s="619">
        <v>2.1076770000000002</v>
      </c>
      <c r="Q46" s="619">
        <v>2.1076770000000002</v>
      </c>
      <c r="R46" s="619">
        <v>2.0698859999999999</v>
      </c>
      <c r="S46" s="620">
        <v>2.0698859999999999</v>
      </c>
      <c r="T46" s="621"/>
      <c r="U46" s="582">
        <v>22.1</v>
      </c>
      <c r="V46" s="582">
        <v>95</v>
      </c>
      <c r="W46" s="582">
        <v>7.0000000000000007E-2</v>
      </c>
      <c r="X46" s="582">
        <v>0.3</v>
      </c>
      <c r="Y46" s="583">
        <f t="shared" si="22"/>
        <v>2.1076770000000002</v>
      </c>
    </row>
    <row r="47" spans="2:25" ht="15" customHeight="1" x14ac:dyDescent="0.3">
      <c r="B47" s="629" t="s">
        <v>78</v>
      </c>
      <c r="C47" s="585" t="s">
        <v>70</v>
      </c>
      <c r="D47" s="168"/>
      <c r="E47" s="169"/>
      <c r="F47" s="169"/>
      <c r="G47" s="602" t="str">
        <f t="shared" si="16"/>
        <v/>
      </c>
      <c r="H47" s="587" t="str">
        <f t="shared" si="18"/>
        <v/>
      </c>
      <c r="I47" s="588" t="str">
        <f t="shared" si="19"/>
        <v/>
      </c>
      <c r="J47" s="588" t="str">
        <f t="shared" si="20"/>
        <v/>
      </c>
      <c r="K47" s="589" t="str">
        <f t="shared" si="21"/>
        <v/>
      </c>
      <c r="L47" s="590"/>
      <c r="M47" s="591"/>
      <c r="N47" s="618">
        <f t="shared" si="17"/>
        <v>2.1518660000000001</v>
      </c>
      <c r="O47" s="619">
        <v>2.1518660000000001</v>
      </c>
      <c r="P47" s="619">
        <v>2.1518660000000001</v>
      </c>
      <c r="Q47" s="619">
        <v>2.1518660000000001</v>
      </c>
      <c r="R47" s="619">
        <v>2.1071559999999998</v>
      </c>
      <c r="S47" s="620">
        <v>2.1071559999999998</v>
      </c>
      <c r="T47" s="621"/>
      <c r="U47" s="582">
        <v>26.3</v>
      </c>
      <c r="V47" s="582">
        <v>81.599999999999994</v>
      </c>
      <c r="W47" s="582">
        <v>0.02</v>
      </c>
      <c r="X47" s="582">
        <v>0.2</v>
      </c>
      <c r="Y47" s="583">
        <f t="shared" si="22"/>
        <v>2.1518660000000001</v>
      </c>
    </row>
    <row r="48" spans="2:25" ht="15.6" x14ac:dyDescent="0.3">
      <c r="B48" s="629" t="s">
        <v>79</v>
      </c>
      <c r="C48" s="585" t="s">
        <v>70</v>
      </c>
      <c r="D48" s="168"/>
      <c r="E48" s="169"/>
      <c r="F48" s="169"/>
      <c r="G48" s="602" t="str">
        <f t="shared" si="16"/>
        <v/>
      </c>
      <c r="H48" s="587" t="str">
        <f t="shared" si="18"/>
        <v/>
      </c>
      <c r="I48" s="588" t="str">
        <f t="shared" si="19"/>
        <v/>
      </c>
      <c r="J48" s="588" t="str">
        <f t="shared" si="20"/>
        <v/>
      </c>
      <c r="K48" s="589" t="str">
        <f t="shared" si="21"/>
        <v/>
      </c>
      <c r="L48" s="590"/>
      <c r="M48" s="591"/>
      <c r="N48" s="618">
        <f t="shared" si="17"/>
        <v>0.93344999999999989</v>
      </c>
      <c r="O48" s="619">
        <v>0.93344999999999989</v>
      </c>
      <c r="P48" s="619">
        <v>0.93344999999999989</v>
      </c>
      <c r="Q48" s="619">
        <v>0.93344999999999989</v>
      </c>
      <c r="R48" s="619">
        <v>0.91559999999999997</v>
      </c>
      <c r="S48" s="620">
        <v>0.91559999999999997</v>
      </c>
      <c r="T48" s="621"/>
      <c r="U48" s="582">
        <v>10.5</v>
      </c>
      <c r="V48" s="582">
        <v>87.1</v>
      </c>
      <c r="W48" s="582">
        <v>0.7</v>
      </c>
      <c r="X48" s="582">
        <v>1.1000000000000001</v>
      </c>
      <c r="Y48" s="583">
        <f t="shared" si="22"/>
        <v>0.93344999999999989</v>
      </c>
    </row>
    <row r="49" spans="2:25" ht="15.6" x14ac:dyDescent="0.3">
      <c r="B49" s="629" t="s">
        <v>80</v>
      </c>
      <c r="C49" s="585" t="s">
        <v>70</v>
      </c>
      <c r="D49" s="168"/>
      <c r="E49" s="169"/>
      <c r="F49" s="169"/>
      <c r="G49" s="602" t="str">
        <f>IF(CONCATENATE(D49,E49,F49)="","",SUM(D49:F49))</f>
        <v/>
      </c>
      <c r="H49" s="587" t="str">
        <f t="shared" si="18"/>
        <v/>
      </c>
      <c r="I49" s="588" t="str">
        <f t="shared" si="19"/>
        <v/>
      </c>
      <c r="J49" s="588" t="str">
        <f t="shared" si="20"/>
        <v/>
      </c>
      <c r="K49" s="589" t="str">
        <f t="shared" si="21"/>
        <v/>
      </c>
      <c r="L49" s="590"/>
      <c r="M49" s="591"/>
      <c r="N49" s="618">
        <f t="shared" si="17"/>
        <v>2.196E-2</v>
      </c>
      <c r="O49" s="619">
        <v>2.196E-2</v>
      </c>
      <c r="P49" s="619">
        <v>2.196E-2</v>
      </c>
      <c r="Q49" s="619">
        <v>2.196E-2</v>
      </c>
      <c r="R49" s="619">
        <v>2.1959999999999997E-2</v>
      </c>
      <c r="S49" s="620">
        <v>2.1959999999999997E-2</v>
      </c>
      <c r="T49" s="621"/>
      <c r="U49" s="582">
        <v>12.2</v>
      </c>
      <c r="V49" s="582">
        <v>0</v>
      </c>
      <c r="W49" s="582">
        <v>0.7</v>
      </c>
      <c r="X49" s="582">
        <v>1.1000000000000001</v>
      </c>
      <c r="Y49" s="583">
        <f t="shared" si="22"/>
        <v>2.196E-2</v>
      </c>
    </row>
    <row r="50" spans="2:25" ht="15.6" x14ac:dyDescent="0.3">
      <c r="B50" s="629" t="s">
        <v>81</v>
      </c>
      <c r="C50" s="585" t="s">
        <v>70</v>
      </c>
      <c r="D50" s="168"/>
      <c r="E50" s="169"/>
      <c r="F50" s="169"/>
      <c r="G50" s="602" t="str">
        <f t="shared" si="16"/>
        <v/>
      </c>
      <c r="H50" s="587" t="str">
        <f t="shared" si="18"/>
        <v/>
      </c>
      <c r="I50" s="588" t="str">
        <f t="shared" si="19"/>
        <v/>
      </c>
      <c r="J50" s="588" t="str">
        <f t="shared" si="20"/>
        <v/>
      </c>
      <c r="K50" s="589" t="str">
        <f t="shared" si="21"/>
        <v/>
      </c>
      <c r="L50" s="590"/>
      <c r="M50" s="591"/>
      <c r="N50" s="618">
        <f t="shared" si="17"/>
        <v>2.1059999999999999E-2</v>
      </c>
      <c r="O50" s="619">
        <v>2.1059999999999999E-2</v>
      </c>
      <c r="P50" s="619">
        <v>2.1059999999999999E-2</v>
      </c>
      <c r="Q50" s="619">
        <v>2.1059999999999999E-2</v>
      </c>
      <c r="R50" s="619">
        <v>2.0736000000000001E-2</v>
      </c>
      <c r="S50" s="620">
        <v>2.0736000000000001E-2</v>
      </c>
      <c r="T50" s="621"/>
      <c r="U50" s="582">
        <v>16.2</v>
      </c>
      <c r="V50" s="582">
        <v>0</v>
      </c>
      <c r="W50" s="582">
        <v>0.1</v>
      </c>
      <c r="X50" s="582">
        <v>1.2</v>
      </c>
      <c r="Y50" s="583">
        <f t="shared" si="22"/>
        <v>2.1059999999999999E-2</v>
      </c>
    </row>
    <row r="51" spans="2:25" ht="15.6" x14ac:dyDescent="0.3">
      <c r="B51" s="629" t="s">
        <v>82</v>
      </c>
      <c r="C51" s="585" t="s">
        <v>70</v>
      </c>
      <c r="D51" s="168"/>
      <c r="E51" s="169"/>
      <c r="F51" s="169"/>
      <c r="G51" s="602" t="str">
        <f t="shared" si="16"/>
        <v/>
      </c>
      <c r="H51" s="587" t="str">
        <f t="shared" si="18"/>
        <v/>
      </c>
      <c r="I51" s="588" t="str">
        <f t="shared" si="19"/>
        <v/>
      </c>
      <c r="J51" s="588" t="str">
        <f t="shared" si="20"/>
        <v/>
      </c>
      <c r="K51" s="589" t="str">
        <f t="shared" si="21"/>
        <v/>
      </c>
      <c r="L51" s="590"/>
      <c r="M51" s="591"/>
      <c r="N51" s="618">
        <f t="shared" si="17"/>
        <v>1.3520000000000001E-2</v>
      </c>
      <c r="O51" s="619">
        <v>1.3520000000000001E-2</v>
      </c>
      <c r="P51" s="619">
        <v>1.3520000000000001E-2</v>
      </c>
      <c r="Q51" s="619">
        <v>1.3520000000000001E-2</v>
      </c>
      <c r="R51" s="619">
        <v>1.3312000000000001E-2</v>
      </c>
      <c r="S51" s="620">
        <v>1.3312000000000001E-2</v>
      </c>
      <c r="T51" s="621"/>
      <c r="U51" s="582">
        <v>10.4</v>
      </c>
      <c r="V51" s="582">
        <v>0</v>
      </c>
      <c r="W51" s="582">
        <v>0.1</v>
      </c>
      <c r="X51" s="582">
        <v>1.2</v>
      </c>
      <c r="Y51" s="583">
        <f t="shared" si="22"/>
        <v>1.3520000000000001E-2</v>
      </c>
    </row>
    <row r="52" spans="2:25" ht="15.6" x14ac:dyDescent="0.3">
      <c r="B52" s="629" t="s">
        <v>63</v>
      </c>
      <c r="C52" s="585" t="s">
        <v>70</v>
      </c>
      <c r="D52" s="168"/>
      <c r="E52" s="169"/>
      <c r="F52" s="169"/>
      <c r="G52" s="602" t="str">
        <f t="shared" si="16"/>
        <v/>
      </c>
      <c r="H52" s="587" t="str">
        <f t="shared" si="18"/>
        <v/>
      </c>
      <c r="I52" s="588" t="str">
        <f t="shared" si="19"/>
        <v/>
      </c>
      <c r="J52" s="588" t="str">
        <f t="shared" si="20"/>
        <v/>
      </c>
      <c r="K52" s="589" t="str">
        <f t="shared" si="21"/>
        <v/>
      </c>
      <c r="L52" s="590"/>
      <c r="M52" s="591"/>
      <c r="N52" s="618">
        <f t="shared" si="17"/>
        <v>1.3439999999999999E-2</v>
      </c>
      <c r="O52" s="619">
        <v>1.3439999999999999E-2</v>
      </c>
      <c r="P52" s="619">
        <v>1.3439999999999999E-2</v>
      </c>
      <c r="Q52" s="619">
        <v>1.3439999999999999E-2</v>
      </c>
      <c r="R52" s="619">
        <v>1.4399999999999998E-2</v>
      </c>
      <c r="S52" s="620">
        <v>1.4399999999999998E-2</v>
      </c>
      <c r="T52" s="621"/>
      <c r="U52" s="582">
        <v>9.6</v>
      </c>
      <c r="V52" s="582">
        <v>0</v>
      </c>
      <c r="W52" s="582">
        <v>0.2</v>
      </c>
      <c r="X52" s="582">
        <v>1.2</v>
      </c>
      <c r="Y52" s="583">
        <f t="shared" si="22"/>
        <v>1.3439999999999999E-2</v>
      </c>
    </row>
    <row r="53" spans="2:25" ht="15.6" x14ac:dyDescent="0.3">
      <c r="B53" s="629" t="s">
        <v>64</v>
      </c>
      <c r="C53" s="585" t="s">
        <v>70</v>
      </c>
      <c r="D53" s="168"/>
      <c r="E53" s="169"/>
      <c r="F53" s="169"/>
      <c r="G53" s="602" t="str">
        <f>IF(CONCATENATE(D53,E53,F53)="","",SUM(D53:F53))</f>
        <v/>
      </c>
      <c r="H53" s="587" t="str">
        <f>IF(D53="","",IF($C53="kg",D53*$N53/1000,D53*$N53))</f>
        <v/>
      </c>
      <c r="I53" s="588" t="str">
        <f t="shared" si="19"/>
        <v/>
      </c>
      <c r="J53" s="588" t="str">
        <f t="shared" si="20"/>
        <v/>
      </c>
      <c r="K53" s="589" t="str">
        <f>IF(CONCATENATE(H53,I53,J53)="","",SUM(H53:J53))</f>
        <v/>
      </c>
      <c r="L53" s="590"/>
      <c r="M53" s="591"/>
      <c r="N53" s="618">
        <f t="shared" si="17"/>
        <v>0.18349000000000001</v>
      </c>
      <c r="O53" s="619">
        <v>0.18349000000000001</v>
      </c>
      <c r="P53" s="619">
        <v>0.18349000000000001</v>
      </c>
      <c r="Q53" s="619">
        <v>0.18349000000000001</v>
      </c>
      <c r="R53" s="619">
        <v>0.16172</v>
      </c>
      <c r="S53" s="620">
        <v>0.16172</v>
      </c>
      <c r="T53" s="621"/>
      <c r="U53" s="582">
        <v>31.1</v>
      </c>
      <c r="V53" s="582">
        <v>0</v>
      </c>
      <c r="W53" s="582">
        <v>4.8</v>
      </c>
      <c r="X53" s="582">
        <v>1.1000000000000001</v>
      </c>
      <c r="Y53" s="583">
        <f t="shared" si="22"/>
        <v>0.18349000000000001</v>
      </c>
    </row>
    <row r="54" spans="2:25" ht="15.6" x14ac:dyDescent="0.3">
      <c r="B54" s="596" t="s">
        <v>74</v>
      </c>
      <c r="C54" s="597" t="s">
        <v>182</v>
      </c>
      <c r="D54" s="587"/>
      <c r="E54" s="588"/>
      <c r="F54" s="588"/>
      <c r="G54" s="602"/>
      <c r="H54" s="600">
        <f>SUM(H43:H53)</f>
        <v>0</v>
      </c>
      <c r="I54" s="601">
        <f>SUM(I43:I53)</f>
        <v>0</v>
      </c>
      <c r="J54" s="601">
        <f>SUM(J43:J53)</f>
        <v>0</v>
      </c>
      <c r="K54" s="602">
        <f>SUM(K43:K53)</f>
        <v>0</v>
      </c>
      <c r="L54" s="622"/>
      <c r="M54" s="623"/>
      <c r="N54" s="668"/>
      <c r="O54" s="619"/>
      <c r="P54" s="619"/>
      <c r="Q54" s="619"/>
      <c r="R54" s="619"/>
      <c r="S54" s="620"/>
      <c r="T54" s="621"/>
      <c r="U54" s="669"/>
      <c r="V54" s="669"/>
      <c r="W54" s="669"/>
      <c r="X54" s="669"/>
      <c r="Y54" s="583"/>
    </row>
    <row r="55" spans="2:25" ht="7.5" customHeight="1" x14ac:dyDescent="0.3">
      <c r="B55" s="629"/>
      <c r="C55" s="585"/>
      <c r="D55" s="587"/>
      <c r="E55" s="588"/>
      <c r="F55" s="588"/>
      <c r="G55" s="602"/>
      <c r="H55" s="606"/>
      <c r="I55" s="607"/>
      <c r="J55" s="607"/>
      <c r="K55" s="608"/>
      <c r="L55" s="609"/>
      <c r="M55" s="578"/>
      <c r="N55" s="668"/>
      <c r="O55" s="619"/>
      <c r="P55" s="619"/>
      <c r="Q55" s="619"/>
      <c r="R55" s="619"/>
      <c r="S55" s="620"/>
      <c r="T55" s="621"/>
      <c r="U55" s="669"/>
      <c r="V55" s="669"/>
      <c r="W55" s="669"/>
      <c r="X55" s="669"/>
      <c r="Y55" s="583"/>
    </row>
    <row r="56" spans="2:25" ht="15.6" x14ac:dyDescent="0.3">
      <c r="B56" s="612" t="s">
        <v>309</v>
      </c>
      <c r="C56" s="613"/>
      <c r="D56" s="625"/>
      <c r="E56" s="626"/>
      <c r="F56" s="626"/>
      <c r="G56" s="627"/>
      <c r="H56" s="615"/>
      <c r="I56" s="616"/>
      <c r="J56" s="616"/>
      <c r="K56" s="617"/>
      <c r="L56" s="575"/>
      <c r="M56" s="576"/>
      <c r="N56" s="668"/>
      <c r="O56" s="619"/>
      <c r="P56" s="619"/>
      <c r="Q56" s="619"/>
      <c r="R56" s="619"/>
      <c r="S56" s="620"/>
      <c r="T56" s="621"/>
      <c r="U56" s="669"/>
      <c r="V56" s="669"/>
      <c r="W56" s="669"/>
      <c r="X56" s="669"/>
      <c r="Y56" s="583"/>
    </row>
    <row r="57" spans="2:25" ht="18" x14ac:dyDescent="0.3">
      <c r="B57" s="629" t="s">
        <v>83</v>
      </c>
      <c r="C57" s="585" t="s">
        <v>15</v>
      </c>
      <c r="D57" s="168"/>
      <c r="E57" s="169"/>
      <c r="F57" s="169"/>
      <c r="G57" s="602" t="str">
        <f>IF(CONCATENATE(D57,E57,F57)="","",SUM(D57:F57))</f>
        <v/>
      </c>
      <c r="H57" s="587" t="str">
        <f t="shared" ref="H57:J59" si="23">IF(D57="","",D57*$N57)</f>
        <v/>
      </c>
      <c r="I57" s="588" t="str">
        <f t="shared" si="23"/>
        <v/>
      </c>
      <c r="J57" s="588" t="str">
        <f t="shared" si="23"/>
        <v/>
      </c>
      <c r="K57" s="589" t="str">
        <f>IF(CONCATENATE(H57,I57,J57)="","",SUM(H57:J57))</f>
        <v/>
      </c>
      <c r="L57" s="590"/>
      <c r="M57" s="591"/>
      <c r="N57" s="618">
        <f>Y57</f>
        <v>1.9464509999999999E-3</v>
      </c>
      <c r="O57" s="619">
        <v>1.9464509999999999E-3</v>
      </c>
      <c r="P57" s="619">
        <v>1.9464509999999999E-3</v>
      </c>
      <c r="Q57" s="619">
        <v>1.9464509999999999E-3</v>
      </c>
      <c r="R57" s="619">
        <v>1.935141E-3</v>
      </c>
      <c r="S57" s="620">
        <v>1.935141E-3</v>
      </c>
      <c r="T57" s="621"/>
      <c r="U57" s="582">
        <v>3.7699999999999997E-2</v>
      </c>
      <c r="V57" s="582">
        <v>51.4</v>
      </c>
      <c r="W57" s="582">
        <v>0.2</v>
      </c>
      <c r="X57" s="582">
        <v>0.03</v>
      </c>
      <c r="Y57" s="583">
        <f>SUM(V57:X57)*U57/1000</f>
        <v>1.9464509999999999E-3</v>
      </c>
    </row>
    <row r="58" spans="2:25" ht="18" x14ac:dyDescent="0.3">
      <c r="B58" s="629" t="s">
        <v>84</v>
      </c>
      <c r="C58" s="585" t="s">
        <v>15</v>
      </c>
      <c r="D58" s="168"/>
      <c r="E58" s="169"/>
      <c r="F58" s="169"/>
      <c r="G58" s="602" t="str">
        <f>IF(CONCATENATE(D58,E58,F58)="","",SUM(D58:F58))</f>
        <v/>
      </c>
      <c r="H58" s="587" t="str">
        <f t="shared" si="23"/>
        <v/>
      </c>
      <c r="I58" s="588" t="str">
        <f t="shared" si="23"/>
        <v/>
      </c>
      <c r="J58" s="588" t="str">
        <f t="shared" si="23"/>
        <v/>
      </c>
      <c r="K58" s="589" t="str">
        <f>IF(CONCATENATE(H58,I58,J58)="","",SUM(H58:J58))</f>
        <v/>
      </c>
      <c r="L58" s="590"/>
      <c r="M58" s="591"/>
      <c r="N58" s="618">
        <f>Y58</f>
        <v>2.1123309999999998E-3</v>
      </c>
      <c r="O58" s="619">
        <v>2.1123309999999998E-3</v>
      </c>
      <c r="P58" s="619">
        <v>2.1123309999999998E-3</v>
      </c>
      <c r="Q58" s="619">
        <v>2.1123309999999998E-3</v>
      </c>
      <c r="R58" s="619">
        <v>2.1349509999999999E-3</v>
      </c>
      <c r="S58" s="620">
        <v>2.1349509999999999E-3</v>
      </c>
      <c r="T58" s="621"/>
      <c r="U58" s="582">
        <v>3.7699999999999997E-2</v>
      </c>
      <c r="V58" s="582">
        <v>51.9</v>
      </c>
      <c r="W58" s="582">
        <v>4.0999999999999996</v>
      </c>
      <c r="X58" s="582">
        <v>0.03</v>
      </c>
      <c r="Y58" s="583">
        <f>SUM(V58:X58)*U58/1000</f>
        <v>2.1123309999999998E-3</v>
      </c>
    </row>
    <row r="59" spans="2:25" ht="18" x14ac:dyDescent="0.3">
      <c r="B59" s="629" t="s">
        <v>65</v>
      </c>
      <c r="C59" s="585" t="s">
        <v>15</v>
      </c>
      <c r="D59" s="157"/>
      <c r="E59" s="158"/>
      <c r="F59" s="158"/>
      <c r="G59" s="602" t="str">
        <f>IF(CONCATENATE(D59,E59,F59)="","",SUM(D59:F59))</f>
        <v/>
      </c>
      <c r="H59" s="587" t="str">
        <f t="shared" si="23"/>
        <v/>
      </c>
      <c r="I59" s="588" t="str">
        <f t="shared" si="23"/>
        <v/>
      </c>
      <c r="J59" s="588" t="str">
        <f t="shared" si="23"/>
        <v/>
      </c>
      <c r="K59" s="589" t="str">
        <f>IF(CONCATENATE(H59,I59,J59)="","",SUM(H59:J59))</f>
        <v/>
      </c>
      <c r="L59" s="590"/>
      <c r="M59" s="591"/>
      <c r="N59" s="618">
        <f>Y59</f>
        <v>2.3489700000000001E-3</v>
      </c>
      <c r="O59" s="619">
        <v>2.3489700000000001E-3</v>
      </c>
      <c r="P59" s="619">
        <v>2.3489700000000001E-3</v>
      </c>
      <c r="Q59" s="619">
        <v>2.3489700000000001E-3</v>
      </c>
      <c r="R59" s="619">
        <v>2.3384399999999998E-3</v>
      </c>
      <c r="S59" s="620">
        <v>2.3384399999999998E-3</v>
      </c>
      <c r="T59" s="621"/>
      <c r="U59" s="582">
        <v>3.9E-2</v>
      </c>
      <c r="V59" s="582">
        <v>60.2</v>
      </c>
      <c r="W59" s="582">
        <v>0</v>
      </c>
      <c r="X59" s="582">
        <v>0.03</v>
      </c>
      <c r="Y59" s="583">
        <f>SUM(V59:X59)*U59/1000</f>
        <v>2.3489700000000001E-3</v>
      </c>
    </row>
    <row r="60" spans="2:25" ht="15.6" x14ac:dyDescent="0.3">
      <c r="B60" s="629" t="s">
        <v>66</v>
      </c>
      <c r="C60" s="585" t="s">
        <v>54</v>
      </c>
      <c r="D60" s="168"/>
      <c r="E60" s="169"/>
      <c r="F60" s="169"/>
      <c r="G60" s="602" t="str">
        <f>IF(CONCATENATE(D60,E60,F60)="","",SUM(D60:F60))</f>
        <v/>
      </c>
      <c r="H60" s="587" t="str">
        <f>IF(D60="","",IF($C60="L",D60*$N60/1000,D60*$N60))</f>
        <v/>
      </c>
      <c r="I60" s="588" t="str">
        <f>IF(E60="","",IF($C60="L",E60*$N60/1000,E60*$N60))</f>
        <v/>
      </c>
      <c r="J60" s="588" t="str">
        <f>IF(F60="","",IF($C60="L",F60*$N60/1000,F60*$N60))</f>
        <v/>
      </c>
      <c r="K60" s="589" t="str">
        <f>IF(CONCATENATE(H60,I60,J60)="","",SUM(H60:J60))</f>
        <v/>
      </c>
      <c r="L60" s="590"/>
      <c r="M60" s="591"/>
      <c r="N60" s="618">
        <f>Y60</f>
        <v>1.303709</v>
      </c>
      <c r="O60" s="619">
        <v>1.303709</v>
      </c>
      <c r="P60" s="619">
        <v>1.303709</v>
      </c>
      <c r="Q60" s="619">
        <v>1.303709</v>
      </c>
      <c r="R60" s="619">
        <v>1.2986490000000002</v>
      </c>
      <c r="S60" s="620">
        <v>1.2986490000000002</v>
      </c>
      <c r="T60" s="621"/>
      <c r="U60" s="582">
        <v>25.3</v>
      </c>
      <c r="V60" s="582">
        <v>51.4</v>
      </c>
      <c r="W60" s="582">
        <v>0.1</v>
      </c>
      <c r="X60" s="582">
        <v>0.03</v>
      </c>
      <c r="Y60" s="583">
        <f>SUM(V60:X60)*U60/1000</f>
        <v>1.303709</v>
      </c>
    </row>
    <row r="61" spans="2:25" ht="18" x14ac:dyDescent="0.3">
      <c r="B61" s="629" t="s">
        <v>85</v>
      </c>
      <c r="C61" s="585" t="s">
        <v>15</v>
      </c>
      <c r="D61" s="168"/>
      <c r="E61" s="169"/>
      <c r="F61" s="169"/>
      <c r="G61" s="602" t="str">
        <f>IF(CONCATENATE(D61,E61,F61)="","",SUM(D61:F61))</f>
        <v/>
      </c>
      <c r="H61" s="587" t="str">
        <f>IF(D61="","",D61*$N61)</f>
        <v/>
      </c>
      <c r="I61" s="588" t="str">
        <f>IF(E61="","",E61*$N61)</f>
        <v/>
      </c>
      <c r="J61" s="588" t="str">
        <f>IF(F61="","",F61*$N61)</f>
        <v/>
      </c>
      <c r="K61" s="589" t="str">
        <f>IF(CONCATENATE(H61,I61,J61)="","",SUM(H61:J61))</f>
        <v/>
      </c>
      <c r="L61" s="590"/>
      <c r="M61" s="591"/>
      <c r="N61" s="618">
        <f>Y61</f>
        <v>1.82091E-4</v>
      </c>
      <c r="O61" s="619">
        <v>1.82091E-4</v>
      </c>
      <c r="P61" s="619">
        <v>1.82091E-4</v>
      </c>
      <c r="Q61" s="619">
        <v>1.82091E-4</v>
      </c>
      <c r="R61" s="619">
        <v>1.82091E-4</v>
      </c>
      <c r="S61" s="620">
        <v>1.82091E-4</v>
      </c>
      <c r="T61" s="621"/>
      <c r="U61" s="582">
        <v>3.7699999999999997E-2</v>
      </c>
      <c r="V61" s="582">
        <v>0</v>
      </c>
      <c r="W61" s="582">
        <v>4.8</v>
      </c>
      <c r="X61" s="582">
        <v>0.03</v>
      </c>
      <c r="Y61" s="583">
        <f>SUM(V61:X61)*U61/1000</f>
        <v>1.82091E-4</v>
      </c>
    </row>
    <row r="62" spans="2:25" ht="15.6" x14ac:dyDescent="0.3">
      <c r="B62" s="596" t="s">
        <v>74</v>
      </c>
      <c r="C62" s="597" t="s">
        <v>182</v>
      </c>
      <c r="D62" s="587"/>
      <c r="E62" s="588"/>
      <c r="F62" s="588"/>
      <c r="G62" s="602"/>
      <c r="H62" s="600">
        <f>SUM(H57:H61)</f>
        <v>0</v>
      </c>
      <c r="I62" s="601">
        <f>SUM(I57:I61)</f>
        <v>0</v>
      </c>
      <c r="J62" s="601">
        <f>SUM(J57:J61)</f>
        <v>0</v>
      </c>
      <c r="K62" s="602">
        <f>SUM(K57:K61)</f>
        <v>0</v>
      </c>
      <c r="L62" s="622"/>
      <c r="M62" s="623"/>
      <c r="N62" s="527"/>
      <c r="O62" s="592"/>
      <c r="P62" s="592"/>
      <c r="Q62" s="578"/>
      <c r="R62" s="578"/>
      <c r="S62" s="593"/>
      <c r="T62" s="581"/>
      <c r="U62" s="631"/>
      <c r="V62" s="631"/>
      <c r="W62" s="631"/>
      <c r="X62" s="631"/>
      <c r="Y62" s="632"/>
    </row>
    <row r="63" spans="2:25" ht="7.5" customHeight="1" x14ac:dyDescent="0.3">
      <c r="B63" s="629"/>
      <c r="C63" s="585"/>
      <c r="D63" s="587"/>
      <c r="E63" s="588"/>
      <c r="F63" s="588"/>
      <c r="G63" s="602"/>
      <c r="H63" s="606"/>
      <c r="I63" s="607"/>
      <c r="J63" s="607"/>
      <c r="K63" s="608"/>
      <c r="L63" s="609"/>
      <c r="M63" s="578"/>
      <c r="N63" s="527"/>
      <c r="O63" s="592"/>
      <c r="P63" s="592"/>
      <c r="Q63" s="578"/>
      <c r="R63" s="578"/>
      <c r="S63" s="593"/>
      <c r="T63" s="581"/>
      <c r="U63" s="631"/>
      <c r="V63" s="631"/>
      <c r="W63" s="631"/>
      <c r="X63" s="631"/>
      <c r="Y63" s="632"/>
    </row>
    <row r="64" spans="2:25" ht="15.6" x14ac:dyDescent="0.3">
      <c r="B64" s="612" t="s">
        <v>379</v>
      </c>
      <c r="C64" s="613"/>
      <c r="D64" s="625"/>
      <c r="E64" s="626"/>
      <c r="F64" s="626"/>
      <c r="G64" s="627"/>
      <c r="H64" s="615"/>
      <c r="I64" s="616"/>
      <c r="J64" s="616"/>
      <c r="K64" s="617"/>
      <c r="L64" s="575"/>
      <c r="M64" s="576"/>
      <c r="N64" s="527"/>
      <c r="O64" s="592"/>
      <c r="P64" s="592"/>
      <c r="Q64" s="578"/>
      <c r="R64" s="578"/>
      <c r="S64" s="593"/>
      <c r="T64" s="581"/>
      <c r="U64" s="631"/>
      <c r="V64" s="631"/>
      <c r="W64" s="631"/>
      <c r="X64" s="631"/>
      <c r="Y64" s="632"/>
    </row>
    <row r="65" spans="2:25" ht="15.6" x14ac:dyDescent="0.3">
      <c r="B65" s="633" t="s">
        <v>30</v>
      </c>
      <c r="C65" s="585" t="s">
        <v>70</v>
      </c>
      <c r="D65" s="587"/>
      <c r="E65" s="634"/>
      <c r="F65" s="588"/>
      <c r="G65" s="602"/>
      <c r="H65" s="606"/>
      <c r="I65" s="169">
        <f>'STW 1'!$N$140</f>
        <v>0</v>
      </c>
      <c r="J65" s="607"/>
      <c r="K65" s="589" t="str">
        <f>IF(SUM(H65:J65)=0,"",SUM(H65:J65))</f>
        <v/>
      </c>
      <c r="L65" s="590"/>
      <c r="M65" s="591"/>
      <c r="N65" s="527"/>
      <c r="O65" s="592"/>
      <c r="P65" s="592"/>
      <c r="Q65" s="578"/>
      <c r="R65" s="578"/>
      <c r="S65" s="593"/>
      <c r="T65" s="581"/>
      <c r="U65" s="631"/>
      <c r="V65" s="631"/>
      <c r="W65" s="631"/>
      <c r="X65" s="631"/>
      <c r="Y65" s="632"/>
    </row>
    <row r="66" spans="2:25" ht="15.6" x14ac:dyDescent="0.3">
      <c r="B66" s="633" t="s">
        <v>33</v>
      </c>
      <c r="C66" s="585" t="s">
        <v>70</v>
      </c>
      <c r="D66" s="587"/>
      <c r="E66" s="634"/>
      <c r="F66" s="588"/>
      <c r="G66" s="602"/>
      <c r="H66" s="606"/>
      <c r="I66" s="169">
        <f>'STW 2'!$N$140</f>
        <v>0</v>
      </c>
      <c r="J66" s="607"/>
      <c r="K66" s="589" t="str">
        <f t="shared" ref="K66:K74" si="24">IF(SUM(H66:J66)=0,"",SUM(H66:J66))</f>
        <v/>
      </c>
      <c r="L66" s="590"/>
      <c r="M66" s="591"/>
      <c r="N66" s="527"/>
      <c r="O66" s="592"/>
      <c r="P66" s="592"/>
      <c r="Q66" s="578"/>
      <c r="R66" s="578"/>
      <c r="S66" s="593"/>
      <c r="T66" s="581"/>
      <c r="U66" s="631"/>
      <c r="V66" s="631"/>
      <c r="W66" s="631"/>
      <c r="X66" s="631"/>
      <c r="Y66" s="632"/>
    </row>
    <row r="67" spans="2:25" ht="15.6" x14ac:dyDescent="0.3">
      <c r="B67" s="633" t="s">
        <v>380</v>
      </c>
      <c r="C67" s="585" t="s">
        <v>70</v>
      </c>
      <c r="D67" s="587"/>
      <c r="E67" s="634"/>
      <c r="F67" s="588"/>
      <c r="G67" s="602"/>
      <c r="H67" s="606"/>
      <c r="I67" s="169">
        <f>'STW 3'!$N$140</f>
        <v>0</v>
      </c>
      <c r="J67" s="607"/>
      <c r="K67" s="589" t="str">
        <f t="shared" si="24"/>
        <v/>
      </c>
      <c r="L67" s="590"/>
      <c r="M67" s="591"/>
      <c r="N67" s="527"/>
      <c r="O67" s="592"/>
      <c r="P67" s="592"/>
      <c r="Q67" s="578"/>
      <c r="R67" s="578"/>
      <c r="S67" s="593"/>
      <c r="T67" s="581"/>
      <c r="U67" s="631"/>
      <c r="V67" s="631"/>
      <c r="W67" s="631"/>
      <c r="X67" s="631"/>
      <c r="Y67" s="632"/>
    </row>
    <row r="68" spans="2:25" ht="15.6" x14ac:dyDescent="0.3">
      <c r="B68" s="633" t="s">
        <v>381</v>
      </c>
      <c r="C68" s="585" t="s">
        <v>70</v>
      </c>
      <c r="D68" s="587"/>
      <c r="E68" s="634"/>
      <c r="F68" s="588"/>
      <c r="G68" s="602"/>
      <c r="H68" s="606"/>
      <c r="I68" s="169">
        <f>'STW 4'!$N$140</f>
        <v>0</v>
      </c>
      <c r="J68" s="607"/>
      <c r="K68" s="589" t="str">
        <f t="shared" si="24"/>
        <v/>
      </c>
      <c r="L68" s="590"/>
      <c r="M68" s="591"/>
      <c r="N68" s="527"/>
      <c r="O68" s="592"/>
      <c r="P68" s="592"/>
      <c r="Q68" s="578"/>
      <c r="R68" s="578"/>
      <c r="S68" s="593"/>
      <c r="T68" s="581"/>
      <c r="U68" s="631"/>
      <c r="V68" s="631"/>
      <c r="W68" s="631"/>
      <c r="X68" s="631"/>
      <c r="Y68" s="632"/>
    </row>
    <row r="69" spans="2:25" ht="15.6" x14ac:dyDescent="0.3">
      <c r="B69" s="633" t="s">
        <v>382</v>
      </c>
      <c r="C69" s="585" t="s">
        <v>70</v>
      </c>
      <c r="D69" s="587"/>
      <c r="E69" s="634"/>
      <c r="F69" s="588"/>
      <c r="G69" s="602"/>
      <c r="H69" s="606"/>
      <c r="I69" s="169">
        <f>'STW 5'!$N$140</f>
        <v>0</v>
      </c>
      <c r="J69" s="607"/>
      <c r="K69" s="589" t="str">
        <f t="shared" si="24"/>
        <v/>
      </c>
      <c r="L69" s="590"/>
      <c r="M69" s="591"/>
      <c r="N69" s="527"/>
      <c r="O69" s="592"/>
      <c r="P69" s="592"/>
      <c r="Q69" s="578"/>
      <c r="R69" s="578"/>
      <c r="S69" s="593"/>
      <c r="T69" s="581"/>
      <c r="U69" s="631"/>
      <c r="V69" s="631"/>
      <c r="W69" s="631"/>
      <c r="X69" s="631"/>
      <c r="Y69" s="632"/>
    </row>
    <row r="70" spans="2:25" ht="15.6" x14ac:dyDescent="0.3">
      <c r="B70" s="633" t="s">
        <v>383</v>
      </c>
      <c r="C70" s="585" t="s">
        <v>70</v>
      </c>
      <c r="D70" s="587"/>
      <c r="E70" s="634"/>
      <c r="F70" s="588"/>
      <c r="G70" s="602"/>
      <c r="H70" s="606"/>
      <c r="I70" s="169">
        <f>'STW 6'!$N$140</f>
        <v>0</v>
      </c>
      <c r="J70" s="607"/>
      <c r="K70" s="589" t="str">
        <f t="shared" si="24"/>
        <v/>
      </c>
      <c r="L70" s="590"/>
      <c r="M70" s="591"/>
      <c r="N70" s="527"/>
      <c r="O70" s="592"/>
      <c r="P70" s="592"/>
      <c r="Q70" s="578"/>
      <c r="R70" s="578"/>
      <c r="S70" s="593"/>
      <c r="T70" s="581"/>
      <c r="U70" s="631"/>
      <c r="V70" s="631"/>
      <c r="W70" s="631"/>
      <c r="X70" s="631"/>
      <c r="Y70" s="632"/>
    </row>
    <row r="71" spans="2:25" ht="15.6" x14ac:dyDescent="0.3">
      <c r="B71" s="633" t="s">
        <v>384</v>
      </c>
      <c r="C71" s="585" t="s">
        <v>70</v>
      </c>
      <c r="D71" s="587"/>
      <c r="E71" s="634"/>
      <c r="F71" s="588"/>
      <c r="G71" s="602"/>
      <c r="H71" s="606"/>
      <c r="I71" s="169">
        <f>'STW 7'!$N$140</f>
        <v>0</v>
      </c>
      <c r="J71" s="607"/>
      <c r="K71" s="589" t="str">
        <f t="shared" si="24"/>
        <v/>
      </c>
      <c r="L71" s="590"/>
      <c r="M71" s="591"/>
      <c r="N71" s="527"/>
      <c r="O71" s="592"/>
      <c r="P71" s="592"/>
      <c r="Q71" s="578"/>
      <c r="R71" s="578"/>
      <c r="S71" s="593"/>
      <c r="T71" s="581"/>
      <c r="U71" s="631"/>
      <c r="V71" s="631"/>
      <c r="W71" s="631"/>
      <c r="X71" s="631"/>
      <c r="Y71" s="632"/>
    </row>
    <row r="72" spans="2:25" ht="15.6" x14ac:dyDescent="0.3">
      <c r="B72" s="633" t="s">
        <v>385</v>
      </c>
      <c r="C72" s="585" t="s">
        <v>70</v>
      </c>
      <c r="D72" s="587"/>
      <c r="E72" s="634"/>
      <c r="F72" s="588"/>
      <c r="G72" s="602"/>
      <c r="H72" s="606"/>
      <c r="I72" s="169">
        <f>'STW 8'!$N$140</f>
        <v>0</v>
      </c>
      <c r="J72" s="607"/>
      <c r="K72" s="589" t="str">
        <f t="shared" si="24"/>
        <v/>
      </c>
      <c r="L72" s="590"/>
      <c r="M72" s="591"/>
      <c r="N72" s="527"/>
      <c r="O72" s="592"/>
      <c r="P72" s="592"/>
      <c r="Q72" s="578"/>
      <c r="R72" s="578"/>
      <c r="S72" s="593"/>
      <c r="T72" s="581"/>
      <c r="U72" s="631"/>
      <c r="V72" s="631"/>
      <c r="W72" s="631"/>
      <c r="X72" s="631"/>
      <c r="Y72" s="632"/>
    </row>
    <row r="73" spans="2:25" ht="15.6" x14ac:dyDescent="0.3">
      <c r="B73" s="633" t="s">
        <v>386</v>
      </c>
      <c r="C73" s="585" t="s">
        <v>70</v>
      </c>
      <c r="D73" s="587"/>
      <c r="E73" s="634"/>
      <c r="F73" s="588"/>
      <c r="G73" s="602"/>
      <c r="H73" s="606"/>
      <c r="I73" s="169">
        <f>'STW 9'!$N$140</f>
        <v>0</v>
      </c>
      <c r="J73" s="607"/>
      <c r="K73" s="589" t="str">
        <f t="shared" si="24"/>
        <v/>
      </c>
      <c r="L73" s="590"/>
      <c r="M73" s="591"/>
      <c r="N73" s="527"/>
      <c r="O73" s="592"/>
      <c r="P73" s="592"/>
      <c r="Q73" s="578"/>
      <c r="R73" s="578"/>
      <c r="S73" s="593"/>
      <c r="T73" s="581"/>
      <c r="U73" s="631"/>
      <c r="V73" s="631"/>
      <c r="W73" s="631"/>
      <c r="X73" s="631"/>
      <c r="Y73" s="632"/>
    </row>
    <row r="74" spans="2:25" ht="15.6" x14ac:dyDescent="0.3">
      <c r="B74" s="633" t="s">
        <v>387</v>
      </c>
      <c r="C74" s="585" t="s">
        <v>70</v>
      </c>
      <c r="D74" s="587"/>
      <c r="E74" s="634"/>
      <c r="F74" s="588"/>
      <c r="G74" s="602"/>
      <c r="H74" s="606"/>
      <c r="I74" s="169">
        <f>'STW 10'!$N$140</f>
        <v>0</v>
      </c>
      <c r="J74" s="607"/>
      <c r="K74" s="589" t="str">
        <f t="shared" si="24"/>
        <v/>
      </c>
      <c r="L74" s="590"/>
      <c r="M74" s="591"/>
      <c r="N74" s="527"/>
      <c r="O74" s="592"/>
      <c r="P74" s="592"/>
      <c r="Q74" s="578"/>
      <c r="R74" s="578"/>
      <c r="S74" s="593"/>
      <c r="T74" s="581"/>
      <c r="U74" s="631"/>
      <c r="V74" s="631"/>
      <c r="W74" s="631"/>
      <c r="X74" s="631"/>
      <c r="Y74" s="632"/>
    </row>
    <row r="75" spans="2:25" ht="15.6" x14ac:dyDescent="0.3">
      <c r="B75" s="596" t="s">
        <v>74</v>
      </c>
      <c r="C75" s="597" t="s">
        <v>182</v>
      </c>
      <c r="D75" s="587"/>
      <c r="E75" s="634"/>
      <c r="F75" s="588"/>
      <c r="G75" s="602"/>
      <c r="H75" s="635"/>
      <c r="I75" s="601">
        <f>SUM(I65:I74)</f>
        <v>0</v>
      </c>
      <c r="J75" s="636"/>
      <c r="K75" s="602">
        <f>$I$75</f>
        <v>0</v>
      </c>
      <c r="L75" s="622"/>
      <c r="M75" s="623"/>
      <c r="N75" s="527"/>
      <c r="O75" s="592"/>
      <c r="P75" s="592"/>
      <c r="Q75" s="578"/>
      <c r="R75" s="578"/>
      <c r="S75" s="593"/>
      <c r="T75" s="581"/>
      <c r="U75" s="631"/>
      <c r="V75" s="631"/>
      <c r="W75" s="631"/>
      <c r="X75" s="631"/>
      <c r="Y75" s="632"/>
    </row>
    <row r="76" spans="2:25" ht="7.5" customHeight="1" x14ac:dyDescent="0.3">
      <c r="B76" s="629"/>
      <c r="C76" s="585"/>
      <c r="D76" s="587"/>
      <c r="E76" s="634"/>
      <c r="F76" s="588"/>
      <c r="G76" s="602" t="str">
        <f>IF(CONCATENATE(D76,E76,F76)="","",SUM(D76:F76))</f>
        <v/>
      </c>
      <c r="H76" s="606" t="str">
        <f>IF(D76="","",D76*$N76)</f>
        <v/>
      </c>
      <c r="I76" s="607" t="str">
        <f>IF(E76="","",E76*$N76)</f>
        <v/>
      </c>
      <c r="J76" s="607" t="str">
        <f>IF(F76="","",F76*$N76)</f>
        <v/>
      </c>
      <c r="K76" s="608" t="str">
        <f>IF(CONCATENATE(H76,I76,J76)="","",SUM(H76:J76))</f>
        <v/>
      </c>
      <c r="L76" s="590"/>
      <c r="M76" s="591"/>
      <c r="N76" s="527"/>
      <c r="O76" s="592"/>
      <c r="P76" s="592"/>
      <c r="Q76" s="578"/>
      <c r="R76" s="578"/>
      <c r="S76" s="593"/>
      <c r="T76" s="581"/>
      <c r="U76" s="631"/>
      <c r="V76" s="631"/>
      <c r="W76" s="631"/>
      <c r="X76" s="631"/>
      <c r="Y76" s="632"/>
    </row>
    <row r="77" spans="2:25" ht="15.6" x14ac:dyDescent="0.3">
      <c r="B77" s="612" t="s">
        <v>75</v>
      </c>
      <c r="C77" s="613"/>
      <c r="D77" s="625"/>
      <c r="E77" s="626"/>
      <c r="F77" s="626"/>
      <c r="G77" s="627"/>
      <c r="H77" s="615"/>
      <c r="I77" s="616"/>
      <c r="J77" s="637"/>
      <c r="K77" s="617"/>
      <c r="L77" s="575"/>
      <c r="M77" s="576"/>
      <c r="N77" s="527"/>
      <c r="O77" s="592"/>
      <c r="P77" s="592"/>
      <c r="Q77" s="578"/>
      <c r="R77" s="578"/>
      <c r="S77" s="593"/>
      <c r="T77" s="581"/>
      <c r="U77" s="631"/>
      <c r="V77" s="631"/>
      <c r="W77" s="631"/>
      <c r="X77" s="631"/>
      <c r="Y77" s="632"/>
    </row>
    <row r="78" spans="2:25" ht="15.6" x14ac:dyDescent="0.3">
      <c r="B78" s="629" t="s">
        <v>76</v>
      </c>
      <c r="C78" s="585" t="s">
        <v>70</v>
      </c>
      <c r="D78" s="587"/>
      <c r="E78" s="588"/>
      <c r="F78" s="169"/>
      <c r="G78" s="602" t="str">
        <f>IF(CONCATENATE(D78,E78,F78)="","",SUM(D78:F78))</f>
        <v/>
      </c>
      <c r="H78" s="606"/>
      <c r="I78" s="607"/>
      <c r="J78" s="607" t="str">
        <f>IF(F78="","",IF($C78="kg",F78*$N78/1000,F78*$N78))</f>
        <v/>
      </c>
      <c r="K78" s="608" t="str">
        <f>IF(CONCATENATE(H78,I78,J78)="","",SUM(H78:J78))</f>
        <v/>
      </c>
      <c r="L78" s="590"/>
      <c r="M78" s="591"/>
      <c r="N78" s="618">
        <f>Y78</f>
        <v>3.67</v>
      </c>
      <c r="O78" s="619">
        <v>3.67</v>
      </c>
      <c r="P78" s="619">
        <v>3.67</v>
      </c>
      <c r="Q78" s="619">
        <v>3.67</v>
      </c>
      <c r="R78" s="619">
        <v>3.67</v>
      </c>
      <c r="S78" s="593">
        <v>3.67</v>
      </c>
      <c r="T78" s="581"/>
      <c r="U78" s="631"/>
      <c r="V78" s="631"/>
      <c r="W78" s="631"/>
      <c r="X78" s="631"/>
      <c r="Y78" s="638">
        <v>3.67</v>
      </c>
    </row>
    <row r="79" spans="2:25" ht="15.6" x14ac:dyDescent="0.3">
      <c r="B79" s="596" t="s">
        <v>74</v>
      </c>
      <c r="C79" s="597" t="s">
        <v>182</v>
      </c>
      <c r="D79" s="587"/>
      <c r="E79" s="588"/>
      <c r="F79" s="588" t="s">
        <v>458</v>
      </c>
      <c r="G79" s="602"/>
      <c r="H79" s="635"/>
      <c r="I79" s="636"/>
      <c r="J79" s="636">
        <f>SUM(J78:J78)</f>
        <v>0</v>
      </c>
      <c r="K79" s="639">
        <f>SUM(K78:K78)</f>
        <v>0</v>
      </c>
      <c r="L79" s="622"/>
      <c r="M79" s="623"/>
      <c r="N79" s="640"/>
      <c r="O79" s="641"/>
      <c r="P79" s="641"/>
      <c r="Q79" s="642"/>
      <c r="R79" s="642"/>
      <c r="S79" s="643"/>
      <c r="T79" s="644"/>
      <c r="U79" s="645"/>
      <c r="V79" s="645"/>
      <c r="W79" s="645"/>
      <c r="X79" s="645"/>
      <c r="Y79" s="646"/>
    </row>
    <row r="80" spans="2:25" ht="7.5" customHeight="1" x14ac:dyDescent="0.3">
      <c r="B80" s="629"/>
      <c r="C80" s="585"/>
      <c r="D80" s="587"/>
      <c r="E80" s="588"/>
      <c r="F80" s="588"/>
      <c r="G80" s="602"/>
      <c r="H80" s="606"/>
      <c r="I80" s="607"/>
      <c r="J80" s="607"/>
      <c r="K80" s="608"/>
      <c r="L80" s="609"/>
      <c r="M80" s="578"/>
      <c r="U80" s="647"/>
      <c r="V80" s="647"/>
      <c r="W80" s="647"/>
      <c r="X80" s="647"/>
    </row>
    <row r="81" spans="2:24" ht="16.5" customHeight="1" x14ac:dyDescent="0.3">
      <c r="B81" s="648" t="s">
        <v>120</v>
      </c>
      <c r="C81" s="649"/>
      <c r="D81" s="650"/>
      <c r="E81" s="651"/>
      <c r="F81" s="651"/>
      <c r="G81" s="652"/>
      <c r="H81" s="653"/>
      <c r="I81" s="654"/>
      <c r="J81" s="654"/>
      <c r="K81" s="655"/>
      <c r="L81" s="609"/>
      <c r="M81" s="578"/>
      <c r="U81" s="647"/>
      <c r="V81" s="647"/>
      <c r="W81" s="647"/>
      <c r="X81" s="647"/>
    </row>
    <row r="82" spans="2:24" ht="16.2" thickBot="1" x14ac:dyDescent="0.35">
      <c r="B82" s="656" t="s">
        <v>120</v>
      </c>
      <c r="C82" s="657" t="s">
        <v>182</v>
      </c>
      <c r="D82" s="658"/>
      <c r="E82" s="659"/>
      <c r="F82" s="659"/>
      <c r="G82" s="660"/>
      <c r="H82" s="661">
        <f>H17+H28+H40+H54+H62</f>
        <v>0</v>
      </c>
      <c r="I82" s="662">
        <f>I17+I28+I40+I54+I62+I75</f>
        <v>0</v>
      </c>
      <c r="J82" s="662">
        <f>J17+J28+J40+J54+J62+J79</f>
        <v>0</v>
      </c>
      <c r="K82" s="663">
        <f>K17+K28+K40+K54+K62+K75+K79</f>
        <v>0</v>
      </c>
      <c r="L82" s="622"/>
      <c r="M82" s="623"/>
    </row>
    <row r="83" spans="2:24" ht="15.6" x14ac:dyDescent="0.3">
      <c r="B83" s="664" t="s">
        <v>16</v>
      </c>
      <c r="C83" s="665"/>
      <c r="D83" s="665"/>
      <c r="E83" s="665"/>
      <c r="F83" s="665"/>
      <c r="G83" s="666"/>
      <c r="H83" s="665"/>
      <c r="I83" s="665"/>
      <c r="J83" s="665"/>
      <c r="K83" s="665"/>
    </row>
  </sheetData>
  <sheetProtection password="D286" sheet="1" objects="1" scenarios="1" selectLockedCells="1"/>
  <mergeCells count="10">
    <mergeCell ref="D3:K3"/>
    <mergeCell ref="H10:K10"/>
    <mergeCell ref="D10:G10"/>
    <mergeCell ref="B10:B12"/>
    <mergeCell ref="C10:C12"/>
    <mergeCell ref="Y9:Y11"/>
    <mergeCell ref="N9:S9"/>
    <mergeCell ref="N10:S10"/>
    <mergeCell ref="U10:X10"/>
    <mergeCell ref="T9:X9"/>
  </mergeCells>
  <phoneticPr fontId="2" type="noConversion"/>
  <conditionalFormatting sqref="Q62:Q78">
    <cfRule type="cellIs" dxfId="1" priority="2" stopIfTrue="1" operator="notEqual">
      <formula>$Y62</formula>
    </cfRule>
  </conditionalFormatting>
  <conditionalFormatting sqref="N14:N78">
    <cfRule type="cellIs" dxfId="0" priority="3" stopIfTrue="1" operator="notEqual">
      <formula>$O14</formula>
    </cfRule>
  </conditionalFormatting>
  <dataValidations disablePrompts="1" count="2">
    <dataValidation type="list" allowBlank="1" showInputMessage="1" showErrorMessage="1" sqref="C78 C43:C53">
      <formula1>"kg,t"</formula1>
    </dataValidation>
    <dataValidation type="list" allowBlank="1" showInputMessage="1" showErrorMessage="1" sqref="C60 C20:C27 C31:C39">
      <formula1>"L,kL"</formula1>
    </dataValidation>
  </dataValidations>
  <pageMargins left="0.17" right="0.28000000000000003" top="0.5" bottom="0.49" header="0.5" footer="0.5"/>
  <pageSetup paperSize="9" scale="56" orientation="portrait" useFirstPageNumber="1" r:id="rId1"/>
  <headerFooter alignWithMargins="0">
    <oddFooter>&amp;C&amp;12Emissions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183"/>
  <sheetViews>
    <sheetView view="pageBreakPreview" zoomScaleNormal="100" workbookViewId="0">
      <selection activeCell="L14" sqref="L14"/>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560</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391</v>
      </c>
      <c r="D3" s="700"/>
      <c r="E3" s="700"/>
      <c r="F3" s="700"/>
      <c r="G3" s="700"/>
      <c r="H3" s="700"/>
      <c r="I3" s="700"/>
      <c r="J3" s="700"/>
      <c r="K3" s="700"/>
      <c r="L3" s="700"/>
      <c r="M3" s="700"/>
      <c r="N3" s="701"/>
    </row>
    <row r="4" spans="1:21" ht="15.75" customHeight="1" x14ac:dyDescent="0.3">
      <c r="C4" s="702" t="s">
        <v>443</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0</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c r="M16" s="172"/>
      <c r="N16" s="362">
        <f>IF(N(L14)&gt;0,L14*1000000/200/365,IF(N(L16)&gt;0,L16,IF(N(L25)&gt;0,L25/0.0585,0)))</f>
        <v>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0</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0</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0</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0</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0</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0</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0</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0</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0</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0</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0</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0</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0</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NAME OF STW</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0</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76"/>
      <c r="G155" s="75"/>
      <c r="H155" s="77"/>
      <c r="I155" s="107"/>
      <c r="J155" s="107"/>
      <c r="K155" s="76"/>
      <c r="L155" s="76" t="s">
        <v>333</v>
      </c>
      <c r="M155" s="78"/>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2"/>
  </sheetPr>
  <dimension ref="A1:AJ154"/>
  <sheetViews>
    <sheetView view="pageBreakPreview" zoomScale="75" zoomScaleNormal="75" workbookViewId="0">
      <selection activeCell="E134" sqref="E134"/>
    </sheetView>
  </sheetViews>
  <sheetFormatPr defaultRowHeight="13.2" x14ac:dyDescent="0.25"/>
  <cols>
    <col min="1" max="1" width="16.33203125" customWidth="1"/>
    <col min="2" max="2" width="12.44140625" customWidth="1"/>
    <col min="3" max="3" width="6.5546875" customWidth="1"/>
    <col min="4" max="4" width="14.33203125" customWidth="1"/>
    <col min="5" max="5" width="13.88671875" customWidth="1"/>
    <col min="6" max="6" width="10.6640625" customWidth="1"/>
    <col min="7" max="7" width="8.6640625" customWidth="1"/>
    <col min="8" max="8" width="9.44140625" customWidth="1"/>
    <col min="9" max="9" width="12.5546875" customWidth="1"/>
    <col min="10" max="10" width="9" customWidth="1"/>
    <col min="11" max="11" width="8" customWidth="1"/>
    <col min="12" max="12" width="7.88671875" customWidth="1"/>
    <col min="13" max="13" width="8.44140625" customWidth="1"/>
    <col min="14" max="14" width="6.44140625" customWidth="1"/>
    <col min="15" max="16" width="7.109375" customWidth="1"/>
    <col min="17" max="17" width="11.88671875" customWidth="1"/>
    <col min="18" max="18" width="11.5546875" customWidth="1"/>
    <col min="19" max="19" width="14.44140625" customWidth="1"/>
    <col min="20" max="20" width="2.109375" customWidth="1"/>
  </cols>
  <sheetData>
    <row r="1" spans="1:15" s="1" customFormat="1" ht="23.4" x14ac:dyDescent="0.45">
      <c r="A1" s="165" t="s">
        <v>376</v>
      </c>
      <c r="B1" s="116"/>
      <c r="C1" s="117"/>
      <c r="D1" s="118"/>
      <c r="E1" s="118"/>
      <c r="F1" s="118"/>
      <c r="G1" s="118"/>
      <c r="H1" s="118"/>
      <c r="I1" s="118"/>
      <c r="J1" s="118"/>
      <c r="K1" s="118"/>
      <c r="L1" s="118"/>
      <c r="M1" s="118"/>
      <c r="N1" s="118"/>
      <c r="O1" s="118"/>
    </row>
    <row r="2" spans="1:15" s="1" customFormat="1" ht="13.5" customHeight="1" x14ac:dyDescent="0.45">
      <c r="A2" s="115"/>
      <c r="B2" s="116"/>
      <c r="C2" s="117"/>
      <c r="D2" s="118"/>
      <c r="E2" s="118"/>
      <c r="F2" s="118"/>
      <c r="G2" s="118"/>
      <c r="H2" s="118"/>
      <c r="I2" s="118"/>
      <c r="J2" s="118"/>
      <c r="K2" s="118"/>
      <c r="L2" s="118"/>
      <c r="M2" s="118"/>
      <c r="N2" s="118"/>
      <c r="O2" s="118"/>
    </row>
    <row r="3" spans="1:15" s="1" customFormat="1" ht="20.25" customHeight="1" x14ac:dyDescent="0.45">
      <c r="A3" s="115" t="s">
        <v>284</v>
      </c>
      <c r="B3" s="116"/>
      <c r="C3" s="117"/>
      <c r="D3" s="118"/>
      <c r="E3" s="118"/>
      <c r="F3" s="118"/>
      <c r="G3" s="118"/>
      <c r="H3" s="118"/>
      <c r="I3" s="118"/>
      <c r="J3" s="118"/>
      <c r="K3" s="118"/>
      <c r="L3" s="118"/>
      <c r="M3" s="118"/>
      <c r="N3" s="118"/>
      <c r="O3" s="118"/>
    </row>
    <row r="4" spans="1:15" s="1" customFormat="1" ht="13.5" customHeight="1" x14ac:dyDescent="0.25">
      <c r="A4" s="29"/>
      <c r="B4" s="29"/>
      <c r="C4" s="29"/>
    </row>
    <row r="5" spans="1:15" s="1" customFormat="1" ht="13.5" customHeight="1" x14ac:dyDescent="0.25">
      <c r="A5" s="86" t="s">
        <v>2</v>
      </c>
      <c r="B5" s="86"/>
      <c r="C5" s="29"/>
    </row>
    <row r="6" spans="1:15" s="1" customFormat="1" ht="33.75" customHeight="1" x14ac:dyDescent="0.25">
      <c r="A6" s="721" t="s">
        <v>464</v>
      </c>
      <c r="B6" s="722"/>
      <c r="C6" s="722"/>
      <c r="D6" s="722"/>
      <c r="E6" s="722"/>
      <c r="F6" s="722"/>
      <c r="G6" s="722"/>
      <c r="H6" s="722"/>
      <c r="I6" s="722"/>
      <c r="J6" s="722"/>
      <c r="K6" s="722"/>
      <c r="L6" s="722"/>
      <c r="M6" s="722"/>
      <c r="N6" s="722"/>
    </row>
    <row r="7" spans="1:15" s="1" customFormat="1" ht="13.5" customHeight="1" x14ac:dyDescent="0.25">
      <c r="A7" s="86" t="s">
        <v>211</v>
      </c>
      <c r="B7" s="86"/>
      <c r="C7" s="29"/>
    </row>
    <row r="8" spans="1:15" s="1" customFormat="1" ht="13.5" customHeight="1" x14ac:dyDescent="0.25">
      <c r="A8" s="86"/>
      <c r="B8" s="86"/>
      <c r="C8" s="29"/>
    </row>
    <row r="9" spans="1:15" s="1" customFormat="1" ht="21" x14ac:dyDescent="0.4">
      <c r="A9" s="171" t="s">
        <v>377</v>
      </c>
      <c r="B9" s="88"/>
      <c r="C9" s="29"/>
    </row>
    <row r="10" spans="1:15" ht="15" x14ac:dyDescent="0.25">
      <c r="A10" s="84"/>
      <c r="B10" s="84"/>
      <c r="C10" s="84"/>
      <c r="D10" s="84"/>
      <c r="E10" s="84"/>
    </row>
    <row r="11" spans="1:15" ht="15" x14ac:dyDescent="0.25">
      <c r="A11" s="84"/>
      <c r="B11" s="84"/>
      <c r="C11" s="84"/>
      <c r="D11" s="84"/>
      <c r="E11" s="84"/>
    </row>
    <row r="12" spans="1:15" ht="13.8" x14ac:dyDescent="0.25">
      <c r="A12" s="16"/>
      <c r="B12" s="16"/>
      <c r="C12" s="16"/>
    </row>
    <row r="46" spans="1:18" x14ac:dyDescent="0.25">
      <c r="E46" s="2"/>
      <c r="R46" s="103"/>
    </row>
    <row r="47" spans="1:18" ht="21" x14ac:dyDescent="0.4">
      <c r="A47" s="171" t="s">
        <v>378</v>
      </c>
      <c r="B47" s="88"/>
      <c r="C47" s="29"/>
      <c r="D47" s="1"/>
      <c r="E47" s="2"/>
    </row>
    <row r="48" spans="1:18" ht="15" x14ac:dyDescent="0.25">
      <c r="A48" s="84"/>
      <c r="B48" s="84"/>
      <c r="C48" s="84"/>
      <c r="D48" s="84"/>
      <c r="E48" s="2"/>
    </row>
    <row r="49" spans="5:5" x14ac:dyDescent="0.25">
      <c r="E49" s="2"/>
    </row>
    <row r="50" spans="5:5" x14ac:dyDescent="0.25">
      <c r="E50" s="2"/>
    </row>
    <row r="51" spans="5:5" x14ac:dyDescent="0.25">
      <c r="E51" s="2"/>
    </row>
    <row r="52" spans="5:5" x14ac:dyDescent="0.25">
      <c r="E52" s="2"/>
    </row>
    <row r="53" spans="5:5" x14ac:dyDescent="0.25">
      <c r="E53" s="2"/>
    </row>
    <row r="54" spans="5:5" x14ac:dyDescent="0.25">
      <c r="E54" s="2"/>
    </row>
    <row r="55" spans="5:5" x14ac:dyDescent="0.25">
      <c r="E55" s="2"/>
    </row>
    <row r="56" spans="5:5" x14ac:dyDescent="0.25">
      <c r="E56" s="2"/>
    </row>
    <row r="57" spans="5:5" x14ac:dyDescent="0.25">
      <c r="E57" s="2"/>
    </row>
    <row r="58" spans="5:5" x14ac:dyDescent="0.25">
      <c r="E58" s="2"/>
    </row>
    <row r="59" spans="5:5" x14ac:dyDescent="0.25">
      <c r="E59" s="2"/>
    </row>
    <row r="60" spans="5:5" x14ac:dyDescent="0.25">
      <c r="E60" s="2"/>
    </row>
    <row r="61" spans="5:5" x14ac:dyDescent="0.25">
      <c r="E61" s="2"/>
    </row>
    <row r="62" spans="5:5" x14ac:dyDescent="0.25">
      <c r="E62" s="2"/>
    </row>
    <row r="63" spans="5:5" x14ac:dyDescent="0.25">
      <c r="E63" s="2"/>
    </row>
    <row r="64" spans="5:5" x14ac:dyDescent="0.25">
      <c r="E64" s="2"/>
    </row>
    <row r="65" spans="5:33" x14ac:dyDescent="0.25">
      <c r="E65" s="2"/>
    </row>
    <row r="66" spans="5:33" x14ac:dyDescent="0.25">
      <c r="E66" s="2"/>
    </row>
    <row r="67" spans="5:33" x14ac:dyDescent="0.25">
      <c r="E67" s="2"/>
    </row>
    <row r="68" spans="5:33" x14ac:dyDescent="0.25">
      <c r="E68" s="2"/>
    </row>
    <row r="69" spans="5:33" x14ac:dyDescent="0.25">
      <c r="E69" s="2"/>
    </row>
    <row r="70" spans="5:33" x14ac:dyDescent="0.25">
      <c r="E70" s="2"/>
    </row>
    <row r="71" spans="5:33" x14ac:dyDescent="0.25">
      <c r="E71" s="2"/>
    </row>
    <row r="72" spans="5:33" x14ac:dyDescent="0.25">
      <c r="E72" s="2"/>
    </row>
    <row r="73" spans="5:33" x14ac:dyDescent="0.25">
      <c r="E73" s="2"/>
    </row>
    <row r="74" spans="5:33" x14ac:dyDescent="0.25">
      <c r="E74" s="2"/>
    </row>
    <row r="75" spans="5:33" x14ac:dyDescent="0.25">
      <c r="E75" s="2"/>
    </row>
    <row r="76" spans="5:33" x14ac:dyDescent="0.25">
      <c r="E76" s="2"/>
    </row>
    <row r="77" spans="5:33" x14ac:dyDescent="0.25">
      <c r="E77" s="2"/>
    </row>
    <row r="78" spans="5:33" ht="13.8" x14ac:dyDescent="0.3">
      <c r="E78" s="2"/>
      <c r="V78" s="705" t="s">
        <v>469</v>
      </c>
      <c r="W78" s="706"/>
      <c r="X78" s="707"/>
      <c r="Y78" s="106" t="s">
        <v>470</v>
      </c>
      <c r="Z78" s="396"/>
      <c r="AA78" s="75"/>
      <c r="AB78" s="77"/>
      <c r="AC78" s="107"/>
      <c r="AD78" s="107"/>
      <c r="AE78" s="396"/>
      <c r="AF78" s="396" t="s">
        <v>333</v>
      </c>
      <c r="AG78" s="397"/>
    </row>
    <row r="79" spans="5:33" ht="13.8" x14ac:dyDescent="0.3">
      <c r="E79" s="2"/>
      <c r="V79" s="79" t="s">
        <v>158</v>
      </c>
      <c r="W79" s="108"/>
      <c r="X79" s="73"/>
      <c r="Y79" s="319" t="s">
        <v>352</v>
      </c>
      <c r="Z79" s="5"/>
      <c r="AA79" s="5"/>
      <c r="AB79" s="108"/>
      <c r="AC79" s="108"/>
      <c r="AD79" s="316"/>
      <c r="AE79" s="60"/>
      <c r="AF79" s="60">
        <v>0</v>
      </c>
      <c r="AG79" s="66"/>
    </row>
    <row r="80" spans="5:33" ht="13.8" x14ac:dyDescent="0.3">
      <c r="E80" s="2"/>
      <c r="V80" s="79"/>
      <c r="W80" s="108"/>
      <c r="X80" s="73"/>
      <c r="Y80" s="319" t="s">
        <v>353</v>
      </c>
      <c r="Z80" s="5"/>
      <c r="AA80" s="5"/>
      <c r="AB80" s="108"/>
      <c r="AC80" s="108"/>
      <c r="AD80" s="316"/>
      <c r="AE80" s="60"/>
      <c r="AF80" s="60"/>
      <c r="AG80" s="66"/>
    </row>
    <row r="81" spans="1:33" ht="13.8" x14ac:dyDescent="0.3">
      <c r="E81" s="2"/>
      <c r="V81" s="79"/>
      <c r="W81" s="108"/>
      <c r="X81" s="73"/>
      <c r="Y81" s="319" t="s">
        <v>354</v>
      </c>
      <c r="Z81" s="5"/>
      <c r="AA81" s="5"/>
      <c r="AB81" s="108"/>
      <c r="AC81" s="108"/>
      <c r="AD81" s="316"/>
      <c r="AE81" s="60"/>
      <c r="AF81" s="60"/>
      <c r="AG81" s="66"/>
    </row>
    <row r="82" spans="1:33" ht="13.8" x14ac:dyDescent="0.3">
      <c r="E82" s="2"/>
      <c r="V82" s="79"/>
      <c r="W82" s="108"/>
      <c r="X82" s="73"/>
      <c r="Y82" s="319" t="s">
        <v>334</v>
      </c>
      <c r="Z82" s="5"/>
      <c r="AA82" s="5"/>
      <c r="AB82" s="108"/>
      <c r="AC82" s="108"/>
      <c r="AD82" s="316"/>
      <c r="AE82" s="60"/>
      <c r="AF82" s="60"/>
      <c r="AG82" s="66"/>
    </row>
    <row r="83" spans="1:33" ht="13.8" x14ac:dyDescent="0.3">
      <c r="E83" s="2"/>
      <c r="V83" s="79"/>
      <c r="W83" s="108"/>
      <c r="X83" s="73"/>
      <c r="Y83" s="319" t="s">
        <v>355</v>
      </c>
      <c r="Z83" s="5"/>
      <c r="AA83" s="5"/>
      <c r="AB83" s="108"/>
      <c r="AC83" s="108"/>
      <c r="AD83" s="316"/>
      <c r="AE83" s="60"/>
      <c r="AF83" s="60"/>
      <c r="AG83" s="66"/>
    </row>
    <row r="84" spans="1:33" ht="13.8" x14ac:dyDescent="0.3">
      <c r="V84" s="79"/>
      <c r="W84" s="108"/>
      <c r="X84" s="73"/>
      <c r="Y84" s="319" t="s">
        <v>356</v>
      </c>
      <c r="Z84" s="5"/>
      <c r="AA84" s="5"/>
      <c r="AB84" s="108"/>
      <c r="AC84" s="108"/>
      <c r="AD84" s="316"/>
      <c r="AE84" s="60"/>
      <c r="AF84" s="60"/>
      <c r="AG84" s="66"/>
    </row>
    <row r="85" spans="1:33" s="1" customFormat="1" ht="15" customHeight="1" x14ac:dyDescent="0.3">
      <c r="A85" s="84"/>
      <c r="B85" s="84"/>
      <c r="D85" s="90"/>
      <c r="V85" s="79"/>
      <c r="W85" s="108"/>
      <c r="X85" s="73"/>
      <c r="Y85" s="319" t="s">
        <v>335</v>
      </c>
      <c r="Z85" s="5"/>
      <c r="AA85" s="5"/>
      <c r="AB85" s="108"/>
      <c r="AC85" s="108"/>
      <c r="AD85" s="316"/>
      <c r="AE85" s="60"/>
      <c r="AF85" s="60"/>
      <c r="AG85" s="66"/>
    </row>
    <row r="86" spans="1:33" s="1" customFormat="1" ht="15" customHeight="1" x14ac:dyDescent="0.3">
      <c r="B86"/>
      <c r="C86"/>
      <c r="D86" s="87"/>
      <c r="V86" s="79"/>
      <c r="W86" s="108"/>
      <c r="X86" s="73"/>
      <c r="Y86" s="319" t="s">
        <v>336</v>
      </c>
      <c r="Z86" s="5"/>
      <c r="AA86" s="5"/>
      <c r="AB86" s="108"/>
      <c r="AC86" s="108"/>
      <c r="AD86" s="316"/>
      <c r="AE86" s="60"/>
      <c r="AF86" s="60"/>
      <c r="AG86" s="66"/>
    </row>
    <row r="87" spans="1:33" s="1" customFormat="1" ht="15" customHeight="1" x14ac:dyDescent="0.3">
      <c r="B87"/>
      <c r="C87"/>
      <c r="D87" s="87"/>
      <c r="V87" s="79"/>
      <c r="W87" s="108"/>
      <c r="X87" s="73"/>
      <c r="Y87" s="319" t="s">
        <v>357</v>
      </c>
      <c r="Z87" s="5"/>
      <c r="AA87" s="5"/>
      <c r="AB87" s="108"/>
      <c r="AC87" s="108"/>
      <c r="AD87" s="316"/>
      <c r="AE87" s="60"/>
      <c r="AF87" s="60"/>
      <c r="AG87" s="66"/>
    </row>
    <row r="88" spans="1:33" s="1" customFormat="1" ht="15" customHeight="1" x14ac:dyDescent="0.3">
      <c r="B88"/>
      <c r="C88"/>
      <c r="D88" s="87"/>
      <c r="V88" s="79"/>
      <c r="W88" s="108"/>
      <c r="X88" s="73"/>
      <c r="Y88" s="319" t="s">
        <v>358</v>
      </c>
      <c r="Z88" s="5"/>
      <c r="AA88" s="5"/>
      <c r="AB88" s="108"/>
      <c r="AC88" s="108"/>
      <c r="AD88" s="316"/>
      <c r="AE88" s="60"/>
      <c r="AF88" s="60"/>
      <c r="AG88" s="66"/>
    </row>
    <row r="89" spans="1:33" s="1" customFormat="1" ht="15" customHeight="1" x14ac:dyDescent="0.3">
      <c r="A89" s="29"/>
      <c r="B89" s="29"/>
      <c r="C89" s="29"/>
      <c r="D89" s="705" t="s">
        <v>161</v>
      </c>
      <c r="E89" s="707"/>
      <c r="F89" s="85" t="s">
        <v>168</v>
      </c>
      <c r="G89" s="76"/>
      <c r="H89" s="75"/>
      <c r="I89" s="77"/>
      <c r="J89" s="525"/>
      <c r="K89" s="78" t="s">
        <v>216</v>
      </c>
      <c r="L89" s="397" t="s">
        <v>217</v>
      </c>
      <c r="V89" s="79"/>
      <c r="W89" s="108"/>
      <c r="X89" s="73"/>
      <c r="Y89" s="319" t="s">
        <v>359</v>
      </c>
      <c r="Z89" s="5"/>
      <c r="AA89" s="5"/>
      <c r="AB89" s="108"/>
      <c r="AC89" s="108"/>
      <c r="AD89" s="316"/>
      <c r="AE89" s="60"/>
      <c r="AF89" s="60"/>
      <c r="AG89" s="66"/>
    </row>
    <row r="90" spans="1:33" s="1" customFormat="1" ht="15" customHeight="1" x14ac:dyDescent="0.3">
      <c r="A90" s="29"/>
      <c r="B90" s="29"/>
      <c r="C90" s="526"/>
      <c r="D90" s="79" t="s">
        <v>158</v>
      </c>
      <c r="E90" s="73"/>
      <c r="F90" s="521" t="s">
        <v>550</v>
      </c>
      <c r="G90" s="5"/>
      <c r="H90" s="5"/>
      <c r="I90" s="522" t="s">
        <v>549</v>
      </c>
      <c r="J90" s="193"/>
      <c r="K90" s="66">
        <v>0</v>
      </c>
      <c r="L90" s="66">
        <v>0</v>
      </c>
      <c r="V90" s="79"/>
      <c r="W90" s="108"/>
      <c r="X90" s="73"/>
      <c r="Y90" s="319" t="s">
        <v>360</v>
      </c>
      <c r="Z90" s="5"/>
      <c r="AA90" s="5"/>
      <c r="AB90" s="108"/>
      <c r="AC90" s="108"/>
      <c r="AD90" s="316"/>
      <c r="AE90" s="60"/>
      <c r="AF90" s="60"/>
      <c r="AG90" s="66"/>
    </row>
    <row r="91" spans="1:33" s="1" customFormat="1" ht="15" customHeight="1" x14ac:dyDescent="0.3">
      <c r="A91" s="29"/>
      <c r="B91" s="29"/>
      <c r="C91" s="526"/>
      <c r="D91" s="79" t="s">
        <v>158</v>
      </c>
      <c r="E91" s="74"/>
      <c r="F91" s="65" t="s">
        <v>550</v>
      </c>
      <c r="G91" s="5"/>
      <c r="H91" s="5"/>
      <c r="I91" s="523" t="s">
        <v>162</v>
      </c>
      <c r="J91" s="66"/>
      <c r="K91" s="66">
        <v>0</v>
      </c>
      <c r="L91" s="66">
        <v>0</v>
      </c>
      <c r="V91" s="79"/>
      <c r="W91" s="108"/>
      <c r="X91" s="73"/>
      <c r="Y91" s="87" t="s">
        <v>361</v>
      </c>
      <c r="Z91" s="5"/>
      <c r="AA91" s="5"/>
      <c r="AB91" s="108"/>
      <c r="AC91" s="108"/>
      <c r="AD91" s="316"/>
      <c r="AE91" s="60"/>
      <c r="AF91" s="60"/>
      <c r="AG91" s="66"/>
    </row>
    <row r="92" spans="1:33" s="1" customFormat="1" ht="15" customHeight="1" x14ac:dyDescent="0.3">
      <c r="A92" s="29"/>
      <c r="B92" s="29"/>
      <c r="C92" s="526" t="s">
        <v>143</v>
      </c>
      <c r="D92" s="79" t="s">
        <v>158</v>
      </c>
      <c r="E92" s="74"/>
      <c r="F92" s="65" t="s">
        <v>550</v>
      </c>
      <c r="G92" s="5"/>
      <c r="H92" s="5"/>
      <c r="I92" s="79" t="s">
        <v>9</v>
      </c>
      <c r="J92" s="66"/>
      <c r="K92" s="66">
        <v>0</v>
      </c>
      <c r="L92" s="66">
        <v>0.8</v>
      </c>
      <c r="V92" s="79"/>
      <c r="W92" s="108"/>
      <c r="X92" s="73"/>
      <c r="Y92" s="87" t="s">
        <v>362</v>
      </c>
      <c r="Z92" s="5"/>
      <c r="AA92" s="5"/>
      <c r="AB92" s="108"/>
      <c r="AC92" s="108"/>
      <c r="AD92" s="316"/>
      <c r="AE92" s="60"/>
      <c r="AF92" s="60"/>
      <c r="AG92" s="66"/>
    </row>
    <row r="93" spans="1:33" s="1" customFormat="1" ht="15" customHeight="1" x14ac:dyDescent="0.3">
      <c r="A93" s="29"/>
      <c r="B93" s="29"/>
      <c r="C93" s="526"/>
      <c r="D93" s="79" t="s">
        <v>158</v>
      </c>
      <c r="E93" s="74"/>
      <c r="F93" s="65" t="s">
        <v>550</v>
      </c>
      <c r="G93" s="5"/>
      <c r="H93" s="5"/>
      <c r="I93" s="523" t="s">
        <v>554</v>
      </c>
      <c r="J93" s="66"/>
      <c r="K93" s="66">
        <v>0</v>
      </c>
      <c r="L93" s="66">
        <v>0</v>
      </c>
      <c r="V93" s="79"/>
      <c r="W93" s="108"/>
      <c r="X93" s="73"/>
      <c r="Y93" s="87" t="s">
        <v>363</v>
      </c>
      <c r="Z93" s="5"/>
      <c r="AA93" s="5"/>
      <c r="AB93" s="108"/>
      <c r="AC93" s="108"/>
      <c r="AD93" s="316"/>
      <c r="AE93" s="60"/>
      <c r="AF93" s="60"/>
      <c r="AG93" s="66"/>
    </row>
    <row r="94" spans="1:33" s="1" customFormat="1" ht="15" customHeight="1" x14ac:dyDescent="0.3">
      <c r="A94" s="29"/>
      <c r="B94" s="29"/>
      <c r="C94" s="526" t="s">
        <v>555</v>
      </c>
      <c r="D94" s="79" t="s">
        <v>158</v>
      </c>
      <c r="E94" s="74"/>
      <c r="F94" s="65" t="s">
        <v>550</v>
      </c>
      <c r="G94" s="5"/>
      <c r="H94" s="5"/>
      <c r="I94" s="523" t="s">
        <v>552</v>
      </c>
      <c r="J94" s="69"/>
      <c r="K94" s="69">
        <v>0</v>
      </c>
      <c r="L94" s="69">
        <v>0.2</v>
      </c>
      <c r="V94" s="79"/>
      <c r="W94" s="108"/>
      <c r="X94" s="73"/>
      <c r="Y94" s="87" t="s">
        <v>364</v>
      </c>
      <c r="Z94" s="5"/>
      <c r="AA94" s="5"/>
      <c r="AB94" s="108"/>
      <c r="AC94" s="108"/>
      <c r="AD94" s="316"/>
      <c r="AE94" s="60"/>
      <c r="AF94" s="60"/>
      <c r="AG94" s="66"/>
    </row>
    <row r="95" spans="1:33" s="1" customFormat="1" ht="15" customHeight="1" x14ac:dyDescent="0.3">
      <c r="A95" s="29"/>
      <c r="B95" s="29"/>
      <c r="C95" s="526"/>
      <c r="D95" s="79" t="s">
        <v>158</v>
      </c>
      <c r="E95" s="74"/>
      <c r="F95" s="65" t="s">
        <v>550</v>
      </c>
      <c r="G95" s="5"/>
      <c r="H95" s="5"/>
      <c r="I95" s="523" t="s">
        <v>553</v>
      </c>
      <c r="J95" s="69"/>
      <c r="K95" s="69">
        <v>0</v>
      </c>
      <c r="L95" s="69">
        <v>0.8</v>
      </c>
      <c r="V95" s="79"/>
      <c r="W95" s="108"/>
      <c r="X95" s="73"/>
      <c r="Y95" s="87" t="s">
        <v>337</v>
      </c>
      <c r="Z95" s="5"/>
      <c r="AA95" s="5"/>
      <c r="AB95" s="108"/>
      <c r="AC95" s="108"/>
      <c r="AD95" s="316"/>
      <c r="AE95" s="60"/>
      <c r="AF95" s="60"/>
      <c r="AG95" s="66"/>
    </row>
    <row r="96" spans="1:33" s="1" customFormat="1" ht="15" customHeight="1" x14ac:dyDescent="0.3">
      <c r="A96" s="29"/>
      <c r="B96" s="29"/>
      <c r="C96" s="526"/>
      <c r="D96" s="79" t="s">
        <v>159</v>
      </c>
      <c r="E96" s="73"/>
      <c r="F96" s="521" t="s">
        <v>551</v>
      </c>
      <c r="G96" s="5"/>
      <c r="H96" s="5"/>
      <c r="I96" s="79" t="s">
        <v>163</v>
      </c>
      <c r="J96" s="66"/>
      <c r="K96" s="66">
        <v>0.3</v>
      </c>
      <c r="L96" s="66">
        <v>0.8</v>
      </c>
      <c r="V96" s="79"/>
      <c r="W96" s="108"/>
      <c r="X96" s="73"/>
      <c r="Y96" s="87" t="s">
        <v>365</v>
      </c>
      <c r="Z96" s="5"/>
      <c r="AA96" s="5"/>
      <c r="AB96" s="108"/>
      <c r="AC96" s="108"/>
      <c r="AD96" s="316"/>
      <c r="AE96" s="60"/>
      <c r="AF96" s="60"/>
      <c r="AG96" s="66"/>
    </row>
    <row r="97" spans="1:33" s="1" customFormat="1" ht="15" customHeight="1" x14ac:dyDescent="0.3">
      <c r="A97" s="29"/>
      <c r="B97" s="29"/>
      <c r="C97" s="526"/>
      <c r="D97" s="79" t="s">
        <v>159</v>
      </c>
      <c r="E97" s="73"/>
      <c r="F97" s="521" t="s">
        <v>551</v>
      </c>
      <c r="G97" s="5"/>
      <c r="H97" s="5"/>
      <c r="I97" s="80" t="s">
        <v>160</v>
      </c>
      <c r="J97" s="66"/>
      <c r="K97" s="66">
        <v>0.3</v>
      </c>
      <c r="L97" s="66">
        <v>0.8</v>
      </c>
      <c r="V97" s="187" t="s">
        <v>159</v>
      </c>
      <c r="W97" s="188"/>
      <c r="X97" s="189"/>
      <c r="Y97" s="336" t="s">
        <v>366</v>
      </c>
      <c r="Z97" s="191"/>
      <c r="AA97" s="191"/>
      <c r="AB97" s="188"/>
      <c r="AC97" s="188"/>
      <c r="AD97" s="318"/>
      <c r="AE97" s="192"/>
      <c r="AF97" s="192">
        <v>0.3</v>
      </c>
      <c r="AG97" s="193"/>
    </row>
    <row r="98" spans="1:33" s="1" customFormat="1" ht="15" customHeight="1" x14ac:dyDescent="0.3">
      <c r="A98" s="29"/>
      <c r="B98" s="29"/>
      <c r="C98" s="526"/>
      <c r="D98" s="79" t="s">
        <v>159</v>
      </c>
      <c r="E98" s="73"/>
      <c r="F98" s="521" t="s">
        <v>551</v>
      </c>
      <c r="G98" s="5"/>
      <c r="H98" s="5"/>
      <c r="I98" s="523" t="s">
        <v>554</v>
      </c>
      <c r="J98" s="69"/>
      <c r="K98" s="69">
        <v>0.3</v>
      </c>
      <c r="L98" s="69">
        <v>0</v>
      </c>
      <c r="V98" s="180"/>
      <c r="W98" s="109"/>
      <c r="X98" s="184"/>
      <c r="Y98" s="337" t="s">
        <v>367</v>
      </c>
      <c r="Z98" s="71"/>
      <c r="AA98" s="71"/>
      <c r="AB98" s="109"/>
      <c r="AC98" s="109"/>
      <c r="AD98" s="317"/>
      <c r="AE98" s="185"/>
      <c r="AF98" s="185"/>
      <c r="AG98" s="186"/>
    </row>
    <row r="99" spans="1:33" s="1" customFormat="1" ht="15" customHeight="1" x14ac:dyDescent="0.3">
      <c r="A99" s="29"/>
      <c r="B99" s="29"/>
      <c r="C99" s="526" t="s">
        <v>20</v>
      </c>
      <c r="D99" s="79" t="s">
        <v>159</v>
      </c>
      <c r="E99" s="73"/>
      <c r="F99" s="521" t="s">
        <v>551</v>
      </c>
      <c r="G99" s="5"/>
      <c r="H99" s="5"/>
      <c r="I99" s="523" t="s">
        <v>552</v>
      </c>
      <c r="J99" s="66"/>
      <c r="K99" s="66">
        <v>0.3</v>
      </c>
      <c r="L99" s="66">
        <v>0.2</v>
      </c>
      <c r="P99" s="520"/>
      <c r="V99" s="79" t="s">
        <v>163</v>
      </c>
      <c r="W99" s="108"/>
      <c r="X99" s="73"/>
      <c r="Y99" s="319" t="s">
        <v>368</v>
      </c>
      <c r="Z99" s="5"/>
      <c r="AA99" s="5"/>
      <c r="AB99" s="108"/>
      <c r="AC99" s="108"/>
      <c r="AD99" s="316"/>
      <c r="AE99" s="60"/>
      <c r="AF99" s="60">
        <v>0.8</v>
      </c>
      <c r="AG99" s="66"/>
    </row>
    <row r="100" spans="1:33" s="1" customFormat="1" ht="15" customHeight="1" x14ac:dyDescent="0.3">
      <c r="A100" s="29"/>
      <c r="B100" s="29"/>
      <c r="C100" s="526" t="s">
        <v>556</v>
      </c>
      <c r="D100" s="79" t="s">
        <v>164</v>
      </c>
      <c r="E100" s="74"/>
      <c r="F100" s="521" t="s">
        <v>551</v>
      </c>
      <c r="G100" s="5"/>
      <c r="H100" s="5"/>
      <c r="I100" s="523" t="s">
        <v>553</v>
      </c>
      <c r="J100" s="66"/>
      <c r="K100" s="66">
        <v>0.3</v>
      </c>
      <c r="L100" s="66">
        <v>0.8</v>
      </c>
      <c r="V100" s="181"/>
      <c r="W100" s="109"/>
      <c r="X100" s="184"/>
      <c r="Y100" s="337" t="s">
        <v>369</v>
      </c>
      <c r="Z100" s="71"/>
      <c r="AA100" s="71"/>
      <c r="AB100" s="109"/>
      <c r="AC100" s="109"/>
      <c r="AD100" s="317"/>
      <c r="AE100" s="185"/>
      <c r="AF100" s="185"/>
      <c r="AG100" s="186"/>
    </row>
    <row r="101" spans="1:33" s="1" customFormat="1" ht="15" customHeight="1" x14ac:dyDescent="0.3">
      <c r="A101" s="29"/>
      <c r="B101" s="29"/>
      <c r="C101" s="526"/>
      <c r="D101" s="70"/>
      <c r="E101" s="72"/>
      <c r="F101" s="71"/>
      <c r="G101" s="71"/>
      <c r="H101" s="71"/>
      <c r="I101" s="524"/>
      <c r="J101" s="72"/>
      <c r="K101" s="72"/>
      <c r="L101" s="72"/>
      <c r="V101" s="79" t="s">
        <v>238</v>
      </c>
      <c r="W101" s="108"/>
      <c r="X101" s="73"/>
      <c r="Y101" s="319" t="s">
        <v>370</v>
      </c>
      <c r="Z101" s="5"/>
      <c r="AA101" s="5"/>
      <c r="AB101" s="108"/>
      <c r="AC101" s="108"/>
      <c r="AD101" s="316"/>
      <c r="AE101" s="68"/>
      <c r="AF101" s="68">
        <v>0.2</v>
      </c>
      <c r="AG101" s="69"/>
    </row>
    <row r="102" spans="1:33" s="1" customFormat="1" ht="12.75" customHeight="1" x14ac:dyDescent="0.3">
      <c r="A102" s="29"/>
      <c r="B102" s="29"/>
      <c r="C102" s="29"/>
      <c r="V102" s="79"/>
      <c r="W102" s="108"/>
      <c r="X102" s="74"/>
      <c r="Y102" s="319" t="s">
        <v>371</v>
      </c>
      <c r="Z102" s="5"/>
      <c r="AA102" s="5"/>
      <c r="AB102" s="108"/>
      <c r="AC102" s="108"/>
      <c r="AD102" s="316"/>
      <c r="AE102" s="68"/>
      <c r="AF102" s="68"/>
      <c r="AG102" s="69"/>
    </row>
    <row r="103" spans="1:33" s="1" customFormat="1" ht="12.75" customHeight="1" x14ac:dyDescent="0.3">
      <c r="A103" s="29"/>
      <c r="B103" s="86"/>
      <c r="C103" s="29"/>
      <c r="V103" s="180"/>
      <c r="W103" s="109"/>
      <c r="X103" s="72"/>
      <c r="Y103" s="337" t="s">
        <v>372</v>
      </c>
      <c r="Z103" s="71"/>
      <c r="AA103" s="71"/>
      <c r="AB103" s="109"/>
      <c r="AC103" s="109"/>
      <c r="AD103" s="317"/>
      <c r="AE103" s="182"/>
      <c r="AF103" s="182"/>
      <c r="AG103" s="183"/>
    </row>
    <row r="104" spans="1:33" s="1" customFormat="1" ht="12.75" customHeight="1" x14ac:dyDescent="0.3">
      <c r="A104" s="29"/>
      <c r="B104" s="29"/>
      <c r="C104" s="29"/>
      <c r="V104" s="79" t="s">
        <v>242</v>
      </c>
      <c r="W104" s="108"/>
      <c r="X104" s="74"/>
      <c r="Y104" s="319" t="s">
        <v>373</v>
      </c>
      <c r="Z104" s="5"/>
      <c r="AA104" s="5"/>
      <c r="AB104" s="108"/>
      <c r="AC104" s="108"/>
      <c r="AD104" s="316"/>
      <c r="AE104" s="68"/>
      <c r="AF104" s="68">
        <v>0.8</v>
      </c>
      <c r="AG104" s="69"/>
    </row>
    <row r="105" spans="1:33" s="1" customFormat="1" ht="12.75" customHeight="1" x14ac:dyDescent="0.3">
      <c r="A105" s="29"/>
      <c r="B105" s="29"/>
      <c r="C105" s="29"/>
      <c r="V105" s="79"/>
      <c r="W105" s="108"/>
      <c r="X105" s="74"/>
      <c r="Y105" s="319" t="s">
        <v>374</v>
      </c>
      <c r="Z105" s="5"/>
      <c r="AA105" s="5"/>
      <c r="AB105" s="108"/>
      <c r="AC105" s="108"/>
      <c r="AD105" s="316"/>
      <c r="AE105" s="68"/>
      <c r="AF105" s="68"/>
      <c r="AG105" s="69"/>
    </row>
    <row r="106" spans="1:33" s="1" customFormat="1" ht="12.75" customHeight="1" x14ac:dyDescent="0.3">
      <c r="A106" s="29" t="s">
        <v>167</v>
      </c>
      <c r="B106" s="29"/>
      <c r="C106" s="29"/>
      <c r="V106" s="70"/>
      <c r="W106" s="109"/>
      <c r="X106" s="72"/>
      <c r="Y106" s="70"/>
      <c r="Z106" s="71"/>
      <c r="AA106" s="71"/>
      <c r="AB106" s="109"/>
      <c r="AC106" s="109"/>
      <c r="AD106" s="71"/>
      <c r="AE106" s="71"/>
      <c r="AF106" s="71"/>
      <c r="AG106" s="72"/>
    </row>
    <row r="107" spans="1:33" s="1" customFormat="1" ht="12.75" customHeight="1" x14ac:dyDescent="0.25">
      <c r="B107" s="29"/>
      <c r="C107" s="29"/>
      <c r="E107" s="708" t="s">
        <v>539</v>
      </c>
      <c r="F107" s="709"/>
      <c r="H107" s="708" t="s">
        <v>540</v>
      </c>
      <c r="I107" s="709"/>
      <c r="K107" s="708" t="s">
        <v>542</v>
      </c>
      <c r="L107" s="709"/>
      <c r="N107" s="708" t="s">
        <v>547</v>
      </c>
      <c r="O107" s="709"/>
      <c r="P107" s="708" t="s">
        <v>548</v>
      </c>
      <c r="Q107" s="709"/>
      <c r="R107" s="714" t="s">
        <v>543</v>
      </c>
      <c r="S107" s="709"/>
    </row>
    <row r="108" spans="1:33" s="1" customFormat="1" ht="12.75" customHeight="1" x14ac:dyDescent="0.25">
      <c r="A108" s="29"/>
      <c r="B108" s="29"/>
      <c r="C108" s="29"/>
      <c r="E108" s="710"/>
      <c r="F108" s="711"/>
      <c r="G108" s="504"/>
      <c r="H108" s="710"/>
      <c r="I108" s="711"/>
      <c r="J108" s="504"/>
      <c r="K108" s="710"/>
      <c r="L108" s="711"/>
      <c r="M108" s="504"/>
      <c r="N108" s="710"/>
      <c r="O108" s="711"/>
      <c r="P108" s="710"/>
      <c r="Q108" s="711"/>
      <c r="R108" s="715"/>
      <c r="S108" s="711"/>
      <c r="T108" s="504"/>
    </row>
    <row r="109" spans="1:33" s="1" customFormat="1" ht="12.75" customHeight="1" x14ac:dyDescent="0.25">
      <c r="A109" s="29"/>
      <c r="B109" s="29"/>
      <c r="C109" s="29"/>
      <c r="E109" s="710"/>
      <c r="F109" s="711"/>
      <c r="G109" s="504"/>
      <c r="H109" s="710"/>
      <c r="I109" s="711"/>
      <c r="J109" s="504"/>
      <c r="K109" s="710"/>
      <c r="L109" s="711"/>
      <c r="M109" s="504"/>
      <c r="N109" s="710"/>
      <c r="O109" s="711"/>
      <c r="P109" s="710"/>
      <c r="Q109" s="711"/>
      <c r="R109" s="715"/>
      <c r="S109" s="711"/>
      <c r="T109" s="504"/>
    </row>
    <row r="110" spans="1:33" s="1" customFormat="1" ht="12.75" customHeight="1" x14ac:dyDescent="0.25">
      <c r="A110" s="29"/>
      <c r="B110" s="29"/>
      <c r="C110" s="29"/>
      <c r="D110" s="81"/>
      <c r="E110" s="712"/>
      <c r="F110" s="713"/>
      <c r="G110" s="504"/>
      <c r="H110" s="712"/>
      <c r="I110" s="713"/>
      <c r="J110" s="504"/>
      <c r="K110" s="712"/>
      <c r="L110" s="713"/>
      <c r="M110" s="504"/>
      <c r="N110" s="712"/>
      <c r="O110" s="713"/>
      <c r="P110" s="712"/>
      <c r="Q110" s="713"/>
      <c r="R110" s="716"/>
      <c r="S110" s="713"/>
      <c r="T110" s="504"/>
    </row>
    <row r="111" spans="1:33" s="1" customFormat="1" ht="12.75" customHeight="1" x14ac:dyDescent="0.25">
      <c r="A111" s="29"/>
      <c r="B111" s="29"/>
      <c r="C111" s="29"/>
      <c r="D111" s="502" t="s">
        <v>216</v>
      </c>
      <c r="E111" s="505">
        <f>D133</f>
        <v>0.3</v>
      </c>
      <c r="F111" s="507"/>
      <c r="G111" s="512"/>
      <c r="H111" s="505">
        <v>0.3</v>
      </c>
      <c r="I111" s="507"/>
      <c r="J111" s="512"/>
      <c r="K111" s="505">
        <v>0</v>
      </c>
      <c r="L111" s="507"/>
      <c r="M111" s="512"/>
      <c r="N111" s="508">
        <v>0</v>
      </c>
      <c r="O111" s="509"/>
      <c r="P111" s="508">
        <v>0</v>
      </c>
      <c r="Q111" s="518"/>
      <c r="R111" s="506">
        <v>0.3</v>
      </c>
      <c r="S111" s="507"/>
      <c r="T111" s="512"/>
    </row>
    <row r="112" spans="1:33" s="1" customFormat="1" ht="12.75" customHeight="1" x14ac:dyDescent="0.25">
      <c r="A112" s="29"/>
      <c r="B112" s="29"/>
      <c r="C112" s="29"/>
      <c r="D112" s="9"/>
      <c r="E112" s="513"/>
      <c r="F112" s="503"/>
      <c r="G112" s="510"/>
      <c r="H112" s="517"/>
      <c r="I112" s="503"/>
      <c r="J112" s="510"/>
      <c r="K112" s="517"/>
      <c r="L112" s="503"/>
      <c r="M112" s="510"/>
      <c r="N112" s="517"/>
      <c r="O112" s="503"/>
      <c r="P112" s="517"/>
      <c r="Q112" s="518"/>
      <c r="R112" s="502"/>
      <c r="S112" s="503"/>
      <c r="T112" s="510"/>
    </row>
    <row r="113" spans="1:20" s="1" customFormat="1" ht="12.75" customHeight="1" x14ac:dyDescent="0.25">
      <c r="A113" s="29"/>
      <c r="B113" s="29"/>
      <c r="C113" s="29"/>
      <c r="D113" s="502" t="s">
        <v>217</v>
      </c>
      <c r="E113" s="98">
        <f>E133</f>
        <v>0.8</v>
      </c>
      <c r="F113" s="100"/>
      <c r="G113" s="512"/>
      <c r="H113" s="98">
        <v>0.2</v>
      </c>
      <c r="I113" s="100"/>
      <c r="J113" s="512"/>
      <c r="K113" s="98">
        <v>0.8</v>
      </c>
      <c r="L113" s="100"/>
      <c r="M113" s="512"/>
      <c r="N113" s="101">
        <v>0.2</v>
      </c>
      <c r="O113" s="102"/>
      <c r="P113" s="101">
        <v>0.2</v>
      </c>
      <c r="Q113" s="518"/>
      <c r="R113" s="99">
        <v>0.8</v>
      </c>
      <c r="S113" s="100"/>
      <c r="T113" s="512"/>
    </row>
    <row r="114" spans="1:20" s="1" customFormat="1" ht="12.75" customHeight="1" x14ac:dyDescent="0.25">
      <c r="A114" s="29"/>
      <c r="B114" s="29"/>
      <c r="C114" s="29"/>
      <c r="D114" s="97"/>
      <c r="E114" s="514"/>
      <c r="F114" s="515"/>
      <c r="G114" s="512"/>
      <c r="H114" s="514"/>
      <c r="I114" s="515"/>
      <c r="J114" s="512"/>
      <c r="K114" s="514"/>
      <c r="L114" s="515"/>
      <c r="M114" s="512"/>
      <c r="N114" s="513"/>
      <c r="O114" s="518"/>
      <c r="P114" s="513"/>
      <c r="Q114" s="518"/>
      <c r="R114" s="520"/>
      <c r="S114" s="518"/>
      <c r="T114" s="512"/>
    </row>
    <row r="115" spans="1:20" s="1" customFormat="1" ht="12.75" customHeight="1" x14ac:dyDescent="0.25">
      <c r="A115" s="29"/>
      <c r="B115" s="29"/>
      <c r="C115" s="29"/>
      <c r="D115" s="82" t="s">
        <v>134</v>
      </c>
      <c r="E115" s="516" t="s">
        <v>166</v>
      </c>
      <c r="F115" s="511"/>
      <c r="G115" s="510"/>
      <c r="H115" s="516"/>
      <c r="I115" s="511"/>
      <c r="J115" s="510"/>
      <c r="K115" s="516"/>
      <c r="L115" s="511"/>
      <c r="M115" s="510"/>
      <c r="N115" s="513"/>
      <c r="O115" s="518"/>
      <c r="P115" s="513"/>
      <c r="Q115" s="518"/>
      <c r="R115" s="520"/>
      <c r="S115" s="518"/>
      <c r="T115" s="510"/>
    </row>
    <row r="116" spans="1:20" s="1" customFormat="1" ht="12.75" customHeight="1" x14ac:dyDescent="0.25">
      <c r="A116" s="29"/>
      <c r="B116" s="29"/>
      <c r="C116" s="29"/>
      <c r="D116" s="67">
        <v>1000</v>
      </c>
      <c r="E116" s="139">
        <f>U133</f>
        <v>231.9093</v>
      </c>
      <c r="F116" s="143"/>
      <c r="G116" s="142"/>
      <c r="H116" s="139">
        <f>U135</f>
        <v>99.23129999999999</v>
      </c>
      <c r="I116" s="143"/>
      <c r="J116" s="142"/>
      <c r="K116" s="139">
        <f>U137</f>
        <v>196.52850000000001</v>
      </c>
      <c r="L116" s="143"/>
      <c r="M116" s="142"/>
      <c r="N116" s="145">
        <f>U139</f>
        <v>63.850499999999997</v>
      </c>
      <c r="O116" s="147"/>
      <c r="P116" s="145">
        <f>U141</f>
        <v>63.850499999999997</v>
      </c>
      <c r="Q116" s="518"/>
      <c r="R116" s="141">
        <f>U143</f>
        <v>231.9093</v>
      </c>
      <c r="S116" s="143"/>
      <c r="T116" s="142"/>
    </row>
    <row r="117" spans="1:20" s="1" customFormat="1" ht="12.75" customHeight="1" x14ac:dyDescent="0.25">
      <c r="A117" s="29"/>
      <c r="B117" s="29"/>
      <c r="C117" s="29"/>
      <c r="D117" s="67">
        <v>5000</v>
      </c>
      <c r="E117" s="140">
        <f>U134</f>
        <v>1159.5464999999999</v>
      </c>
      <c r="F117" s="144"/>
      <c r="G117" s="142"/>
      <c r="H117" s="140">
        <f>U136</f>
        <v>496.15649999999999</v>
      </c>
      <c r="I117" s="144"/>
      <c r="J117" s="142"/>
      <c r="K117" s="139">
        <f>U138</f>
        <v>982.64249999999993</v>
      </c>
      <c r="L117" s="144"/>
      <c r="M117" s="142"/>
      <c r="N117" s="146">
        <f>U140</f>
        <v>319.2525</v>
      </c>
      <c r="O117" s="148"/>
      <c r="P117" s="145">
        <f>U142</f>
        <v>319.2525</v>
      </c>
      <c r="Q117" s="518"/>
      <c r="R117" s="142">
        <f>U144</f>
        <v>1159.5464999999999</v>
      </c>
      <c r="S117" s="144"/>
      <c r="T117" s="142"/>
    </row>
    <row r="118" spans="1:20" s="1" customFormat="1" ht="12.75" customHeight="1" x14ac:dyDescent="0.25">
      <c r="A118" s="29"/>
      <c r="B118" s="29"/>
      <c r="C118" s="29"/>
      <c r="D118" s="67">
        <v>10000</v>
      </c>
      <c r="E118" s="140">
        <f>E117*2</f>
        <v>2319.0929999999998</v>
      </c>
      <c r="F118" s="144"/>
      <c r="G118" s="142"/>
      <c r="H118" s="140">
        <f>H117*2</f>
        <v>992.31299999999999</v>
      </c>
      <c r="I118" s="144"/>
      <c r="J118" s="142"/>
      <c r="K118" s="140">
        <f>K117*2</f>
        <v>1965.2849999999999</v>
      </c>
      <c r="L118" s="144"/>
      <c r="M118" s="142"/>
      <c r="N118" s="140">
        <f>N117*2</f>
        <v>638.505</v>
      </c>
      <c r="O118" s="148"/>
      <c r="P118" s="140">
        <f>P117*2</f>
        <v>638.505</v>
      </c>
      <c r="Q118" s="518"/>
      <c r="R118" s="142">
        <f>R117*2</f>
        <v>2319.0929999999998</v>
      </c>
      <c r="S118" s="144"/>
      <c r="T118" s="142"/>
    </row>
    <row r="119" spans="1:20" s="1" customFormat="1" ht="12.75" customHeight="1" x14ac:dyDescent="0.25">
      <c r="A119" s="29"/>
      <c r="B119" s="29"/>
      <c r="C119" s="29"/>
      <c r="D119" s="67">
        <v>50000</v>
      </c>
      <c r="E119" s="149">
        <f>E117*10</f>
        <v>11595.465</v>
      </c>
      <c r="F119" s="151"/>
      <c r="G119" s="142"/>
      <c r="H119" s="149">
        <f>H117*10</f>
        <v>4961.5649999999996</v>
      </c>
      <c r="I119" s="151"/>
      <c r="J119" s="142"/>
      <c r="K119" s="149">
        <f>K117*10</f>
        <v>9826.4249999999993</v>
      </c>
      <c r="L119" s="151"/>
      <c r="M119" s="142"/>
      <c r="N119" s="149">
        <f>N117*10</f>
        <v>3192.5250000000001</v>
      </c>
      <c r="O119" s="152"/>
      <c r="P119" s="149">
        <f>P117*10</f>
        <v>3192.5250000000001</v>
      </c>
      <c r="Q119" s="518"/>
      <c r="R119" s="150">
        <f>R117*10</f>
        <v>11595.465</v>
      </c>
      <c r="S119" s="151"/>
      <c r="T119" s="142"/>
    </row>
    <row r="120" spans="1:20" s="1" customFormat="1" ht="12.75" customHeight="1" x14ac:dyDescent="0.25">
      <c r="A120" s="29"/>
      <c r="B120" s="29"/>
      <c r="C120" s="29"/>
      <c r="D120" s="67">
        <v>100000</v>
      </c>
      <c r="E120" s="149">
        <f>E118*10</f>
        <v>23190.93</v>
      </c>
      <c r="F120" s="74"/>
      <c r="G120" s="5"/>
      <c r="H120" s="149">
        <f>H118*10</f>
        <v>9923.1299999999992</v>
      </c>
      <c r="I120" s="144"/>
      <c r="J120" s="5"/>
      <c r="K120" s="149">
        <f>K118*10</f>
        <v>19652.849999999999</v>
      </c>
      <c r="L120" s="74"/>
      <c r="M120" s="5"/>
      <c r="N120" s="149">
        <f>N118*10</f>
        <v>6385.05</v>
      </c>
      <c r="O120" s="95"/>
      <c r="P120" s="149">
        <f>P118*10</f>
        <v>6385.05</v>
      </c>
      <c r="Q120" s="518"/>
      <c r="R120" s="150">
        <f>R118*10</f>
        <v>23190.93</v>
      </c>
      <c r="S120" s="74"/>
      <c r="T120" s="5"/>
    </row>
    <row r="121" spans="1:20" s="1" customFormat="1" ht="12.75" customHeight="1" x14ac:dyDescent="0.25">
      <c r="A121" s="29"/>
      <c r="B121" s="29"/>
      <c r="C121" s="29"/>
      <c r="D121" s="83" t="s">
        <v>165</v>
      </c>
      <c r="E121" s="516" t="s">
        <v>166</v>
      </c>
      <c r="F121" s="511"/>
      <c r="G121" s="510"/>
      <c r="H121" s="516"/>
      <c r="I121" s="511"/>
      <c r="J121" s="510"/>
      <c r="K121" s="516"/>
      <c r="L121" s="511"/>
      <c r="M121" s="510"/>
      <c r="N121" s="513"/>
      <c r="O121" s="518"/>
      <c r="P121" s="513"/>
      <c r="Q121" s="518"/>
      <c r="R121" s="520"/>
      <c r="S121" s="518"/>
      <c r="T121" s="510"/>
    </row>
    <row r="122" spans="1:20" s="1" customFormat="1" ht="12.75" customHeight="1" x14ac:dyDescent="0.25">
      <c r="A122" s="29"/>
      <c r="B122" s="29"/>
      <c r="C122" s="29"/>
      <c r="D122" s="67">
        <f>D116*200*365/1000000</f>
        <v>73</v>
      </c>
      <c r="E122" s="139">
        <f>E116</f>
        <v>231.9093</v>
      </c>
      <c r="F122" s="143"/>
      <c r="G122" s="142"/>
      <c r="H122" s="139">
        <f>H116</f>
        <v>99.23129999999999</v>
      </c>
      <c r="I122" s="143"/>
      <c r="J122" s="142"/>
      <c r="K122" s="139">
        <f>K116</f>
        <v>196.52850000000001</v>
      </c>
      <c r="L122" s="143"/>
      <c r="M122" s="142"/>
      <c r="N122" s="145">
        <f>N116</f>
        <v>63.850499999999997</v>
      </c>
      <c r="O122" s="147"/>
      <c r="P122" s="145">
        <f>P116</f>
        <v>63.850499999999997</v>
      </c>
      <c r="Q122" s="518"/>
      <c r="R122" s="141">
        <f>R116</f>
        <v>231.9093</v>
      </c>
      <c r="S122" s="143"/>
      <c r="T122" s="142"/>
    </row>
    <row r="123" spans="1:20" s="1" customFormat="1" ht="12.75" customHeight="1" x14ac:dyDescent="0.25">
      <c r="A123" s="29"/>
      <c r="B123" s="29"/>
      <c r="C123" s="29"/>
      <c r="D123" s="67">
        <f t="shared" ref="D123:D126" si="0">D117*200*365/1000000</f>
        <v>365</v>
      </c>
      <c r="E123" s="140">
        <f>E117</f>
        <v>1159.5464999999999</v>
      </c>
      <c r="F123" s="144"/>
      <c r="G123" s="142"/>
      <c r="H123" s="140">
        <f>H117</f>
        <v>496.15649999999999</v>
      </c>
      <c r="I123" s="144"/>
      <c r="J123" s="142"/>
      <c r="K123" s="140">
        <f>K117</f>
        <v>982.64249999999993</v>
      </c>
      <c r="L123" s="144"/>
      <c r="M123" s="142"/>
      <c r="N123" s="146">
        <f>N117</f>
        <v>319.2525</v>
      </c>
      <c r="O123" s="148"/>
      <c r="P123" s="146">
        <f>P117</f>
        <v>319.2525</v>
      </c>
      <c r="Q123" s="518"/>
      <c r="R123" s="142">
        <f>R117</f>
        <v>1159.5464999999999</v>
      </c>
      <c r="S123" s="144"/>
      <c r="T123" s="142"/>
    </row>
    <row r="124" spans="1:20" s="1" customFormat="1" ht="12.75" customHeight="1" x14ac:dyDescent="0.25">
      <c r="A124" s="29"/>
      <c r="B124" s="29"/>
      <c r="C124" s="29"/>
      <c r="D124" s="67">
        <f t="shared" si="0"/>
        <v>730</v>
      </c>
      <c r="E124" s="140">
        <f>E118</f>
        <v>2319.0929999999998</v>
      </c>
      <c r="F124" s="144"/>
      <c r="G124" s="142"/>
      <c r="H124" s="140">
        <f>H118</f>
        <v>992.31299999999999</v>
      </c>
      <c r="I124" s="144"/>
      <c r="J124" s="142"/>
      <c r="K124" s="140">
        <f>K118</f>
        <v>1965.2849999999999</v>
      </c>
      <c r="L124" s="144"/>
      <c r="M124" s="142"/>
      <c r="N124" s="146">
        <f>N118</f>
        <v>638.505</v>
      </c>
      <c r="O124" s="148"/>
      <c r="P124" s="146">
        <f>P118</f>
        <v>638.505</v>
      </c>
      <c r="Q124" s="518"/>
      <c r="R124" s="142">
        <f>R118</f>
        <v>2319.0929999999998</v>
      </c>
      <c r="S124" s="144"/>
      <c r="T124" s="142"/>
    </row>
    <row r="125" spans="1:20" s="1" customFormat="1" ht="12.75" customHeight="1" x14ac:dyDescent="0.25">
      <c r="A125" s="29"/>
      <c r="B125" s="29"/>
      <c r="C125" s="29"/>
      <c r="D125" s="67">
        <f t="shared" si="0"/>
        <v>3650</v>
      </c>
      <c r="E125" s="140">
        <f>E119</f>
        <v>11595.465</v>
      </c>
      <c r="F125" s="144"/>
      <c r="G125" s="142"/>
      <c r="H125" s="140">
        <f>H119</f>
        <v>4961.5649999999996</v>
      </c>
      <c r="I125" s="144"/>
      <c r="J125" s="142"/>
      <c r="K125" s="140">
        <f>K119</f>
        <v>9826.4249999999993</v>
      </c>
      <c r="L125" s="144"/>
      <c r="M125" s="142"/>
      <c r="N125" s="140">
        <f>N119</f>
        <v>3192.5250000000001</v>
      </c>
      <c r="O125" s="144"/>
      <c r="P125" s="140">
        <f>P119</f>
        <v>3192.5250000000001</v>
      </c>
      <c r="Q125" s="518"/>
      <c r="R125" s="142">
        <f>R119</f>
        <v>11595.465</v>
      </c>
      <c r="S125" s="144"/>
      <c r="T125" s="142"/>
    </row>
    <row r="126" spans="1:20" s="1" customFormat="1" ht="12.75" customHeight="1" x14ac:dyDescent="0.25">
      <c r="A126" s="29"/>
      <c r="B126" s="29"/>
      <c r="C126" s="29"/>
      <c r="D126" s="67">
        <f t="shared" si="0"/>
        <v>7300</v>
      </c>
      <c r="E126" s="149">
        <f>E120</f>
        <v>23190.93</v>
      </c>
      <c r="F126" s="151"/>
      <c r="G126" s="142"/>
      <c r="H126" s="149">
        <f>H120</f>
        <v>9923.1299999999992</v>
      </c>
      <c r="I126" s="151"/>
      <c r="J126" s="142"/>
      <c r="K126" s="149">
        <f>K120</f>
        <v>19652.849999999999</v>
      </c>
      <c r="L126" s="151"/>
      <c r="M126" s="142"/>
      <c r="N126" s="149">
        <f>N120</f>
        <v>6385.05</v>
      </c>
      <c r="O126" s="151"/>
      <c r="P126" s="149">
        <f>P120</f>
        <v>6385.05</v>
      </c>
      <c r="Q126" s="519"/>
      <c r="R126" s="150">
        <f>R120</f>
        <v>23190.93</v>
      </c>
      <c r="S126" s="151"/>
      <c r="T126" s="142"/>
    </row>
    <row r="127" spans="1:20" s="1" customFormat="1" ht="12.75" customHeight="1" x14ac:dyDescent="0.25">
      <c r="A127" s="29"/>
      <c r="B127" s="29"/>
      <c r="C127" s="29"/>
      <c r="D127" s="60"/>
      <c r="E127" s="60"/>
      <c r="F127" s="60"/>
      <c r="G127" s="60"/>
      <c r="H127" s="60"/>
      <c r="I127" s="60"/>
      <c r="J127" s="60"/>
      <c r="K127" s="60"/>
      <c r="L127" s="60"/>
      <c r="M127" s="60"/>
      <c r="N127" s="60"/>
      <c r="O127" s="60"/>
      <c r="P127" s="60"/>
      <c r="Q127" s="60"/>
      <c r="R127" s="96"/>
    </row>
    <row r="128" spans="1:20" s="1" customFormat="1" ht="12.75" customHeight="1" x14ac:dyDescent="0.25">
      <c r="A128" s="29"/>
      <c r="B128" s="29"/>
      <c r="C128" s="29"/>
      <c r="D128" s="60"/>
      <c r="E128" s="60"/>
      <c r="F128" s="60"/>
      <c r="G128" s="60"/>
      <c r="H128" s="60"/>
      <c r="I128" s="60"/>
      <c r="J128" s="60"/>
      <c r="K128" s="60"/>
      <c r="L128" s="60"/>
      <c r="M128" s="60"/>
      <c r="N128" s="60"/>
      <c r="O128" s="60"/>
      <c r="P128" s="60"/>
      <c r="Q128" s="60"/>
      <c r="R128" s="96"/>
    </row>
    <row r="129" spans="1:36" s="1" customFormat="1" ht="12.75" customHeight="1" x14ac:dyDescent="0.25">
      <c r="A129" s="29"/>
      <c r="B129" s="29"/>
      <c r="C129" s="29"/>
      <c r="D129"/>
      <c r="E129"/>
      <c r="F129"/>
      <c r="G129"/>
      <c r="H129"/>
      <c r="I129"/>
      <c r="J129"/>
      <c r="K129"/>
      <c r="L129"/>
      <c r="M129"/>
      <c r="N129"/>
      <c r="O129"/>
      <c r="P129"/>
    </row>
    <row r="130" spans="1:36" s="1" customFormat="1" ht="20.25" customHeight="1" thickBot="1" x14ac:dyDescent="0.3">
      <c r="A130" s="29" t="s">
        <v>169</v>
      </c>
      <c r="B130" s="29"/>
      <c r="C130" s="29"/>
    </row>
    <row r="131" spans="1:36" ht="51" customHeight="1" x14ac:dyDescent="0.25">
      <c r="A131" s="58" t="s">
        <v>153</v>
      </c>
      <c r="B131" s="91"/>
      <c r="C131" s="59"/>
      <c r="D131" s="10" t="s">
        <v>51</v>
      </c>
      <c r="E131" s="10" t="s">
        <v>148</v>
      </c>
      <c r="F131" s="33" t="s">
        <v>151</v>
      </c>
      <c r="G131" s="33" t="s">
        <v>154</v>
      </c>
      <c r="H131" s="33" t="s">
        <v>156</v>
      </c>
      <c r="I131" s="33" t="s">
        <v>545</v>
      </c>
      <c r="J131" s="33" t="s">
        <v>155</v>
      </c>
      <c r="K131" s="33" t="s">
        <v>50</v>
      </c>
      <c r="L131" s="33" t="s">
        <v>157</v>
      </c>
      <c r="M131" s="33" t="s">
        <v>546</v>
      </c>
      <c r="N131" s="33" t="s">
        <v>149</v>
      </c>
      <c r="O131" s="33" t="s">
        <v>152</v>
      </c>
      <c r="P131" s="33" t="s">
        <v>277</v>
      </c>
      <c r="Q131" s="10" t="s">
        <v>276</v>
      </c>
      <c r="R131" s="33" t="s">
        <v>145</v>
      </c>
      <c r="S131" s="33" t="s">
        <v>146</v>
      </c>
      <c r="U131" s="11" t="s">
        <v>144</v>
      </c>
      <c r="AH131" s="64"/>
      <c r="AI131" s="64"/>
      <c r="AJ131" s="64"/>
    </row>
    <row r="132" spans="1:36" s="53" customFormat="1" ht="51" customHeight="1" x14ac:dyDescent="0.2">
      <c r="A132" s="63"/>
      <c r="B132" s="92"/>
      <c r="C132" s="48"/>
      <c r="D132" s="49" t="s">
        <v>216</v>
      </c>
      <c r="E132" s="49" t="s">
        <v>217</v>
      </c>
      <c r="F132" s="50"/>
      <c r="G132" s="51" t="s">
        <v>147</v>
      </c>
      <c r="H132" s="50" t="s">
        <v>18</v>
      </c>
      <c r="I132" s="50"/>
      <c r="J132" s="50" t="s">
        <v>279</v>
      </c>
      <c r="K132" s="50" t="s">
        <v>544</v>
      </c>
      <c r="L132" s="50" t="s">
        <v>301</v>
      </c>
      <c r="M132" s="50" t="s">
        <v>301</v>
      </c>
      <c r="N132" s="51" t="s">
        <v>150</v>
      </c>
      <c r="O132" s="50" t="s">
        <v>8</v>
      </c>
      <c r="P132" s="50" t="s">
        <v>280</v>
      </c>
      <c r="Q132" s="49"/>
      <c r="R132" s="50"/>
      <c r="S132" s="50"/>
      <c r="U132" s="52"/>
      <c r="AH132" s="64"/>
      <c r="AI132" s="64"/>
      <c r="AJ132" s="64"/>
    </row>
    <row r="133" spans="1:36" ht="17.25" customHeight="1" x14ac:dyDescent="0.25">
      <c r="A133" s="717" t="s">
        <v>539</v>
      </c>
      <c r="B133" s="717"/>
      <c r="C133" s="718"/>
      <c r="D133" s="18">
        <v>0.3</v>
      </c>
      <c r="E133" s="18">
        <v>0.8</v>
      </c>
      <c r="F133" s="34">
        <v>1000</v>
      </c>
      <c r="G133" s="34">
        <f>F133*0.0585</f>
        <v>58.5</v>
      </c>
      <c r="H133" s="43">
        <f t="shared" ref="H133:H152" si="1">0.08*G133</f>
        <v>4.68</v>
      </c>
      <c r="I133" s="135">
        <f>(G133-J133-H133)*D133*6.3</f>
        <v>35.380799999999994</v>
      </c>
      <c r="J133" s="34">
        <f t="shared" ref="J133:J152" si="2">0.6*G133</f>
        <v>35.1</v>
      </c>
      <c r="K133" s="34">
        <v>200</v>
      </c>
      <c r="L133" s="43">
        <v>0</v>
      </c>
      <c r="M133" s="43">
        <f>(J133-L133)*E133*6.3</f>
        <v>176.904</v>
      </c>
      <c r="N133" s="43">
        <f>0.036*0.16*F133</f>
        <v>5.76</v>
      </c>
      <c r="O133" s="43">
        <f t="shared" ref="O133:O152" si="3">J133*0.05</f>
        <v>1.7550000000000001</v>
      </c>
      <c r="P133" s="43">
        <f t="shared" ref="P133:P152" si="4">0.05*J133</f>
        <v>1.7550000000000001</v>
      </c>
      <c r="Q133" s="62">
        <f>N133-P133</f>
        <v>4.0049999999999999</v>
      </c>
      <c r="R133" s="135">
        <f>I133+M133</f>
        <v>212.28479999999999</v>
      </c>
      <c r="S133" s="135">
        <f>(N133-P133-Q133)*4.9+Q133*4.9</f>
        <v>19.624500000000001</v>
      </c>
      <c r="U133" s="136">
        <f t="shared" ref="U133:U152" si="5">SUM(R133,S133)</f>
        <v>231.9093</v>
      </c>
    </row>
    <row r="134" spans="1:36" ht="17.25" customHeight="1" x14ac:dyDescent="0.25">
      <c r="A134" s="719"/>
      <c r="B134" s="719"/>
      <c r="C134" s="720"/>
      <c r="D134" s="36">
        <v>0.3</v>
      </c>
      <c r="E134" s="36">
        <v>0.8</v>
      </c>
      <c r="F134" s="37">
        <v>5000</v>
      </c>
      <c r="G134" s="37">
        <f t="shared" ref="G134:G152" si="6">F134*0.0585</f>
        <v>292.5</v>
      </c>
      <c r="H134" s="44">
        <f t="shared" si="1"/>
        <v>23.400000000000002</v>
      </c>
      <c r="I134" s="133">
        <f t="shared" ref="I134:I152" si="7">(G134-J134-H134)*D134*6.3</f>
        <v>176.904</v>
      </c>
      <c r="J134" s="37">
        <f t="shared" si="2"/>
        <v>175.5</v>
      </c>
      <c r="K134" s="37">
        <v>200</v>
      </c>
      <c r="L134" s="44">
        <v>0</v>
      </c>
      <c r="M134" s="44">
        <f t="shared" ref="M134:M152" si="8">(J134-L134)*E134*6.3</f>
        <v>884.52</v>
      </c>
      <c r="N134" s="45">
        <f t="shared" ref="N134:N152" si="9">0.036*0.16*F134</f>
        <v>28.799999999999997</v>
      </c>
      <c r="O134" s="45">
        <f t="shared" si="3"/>
        <v>8.7750000000000004</v>
      </c>
      <c r="P134" s="45">
        <f t="shared" si="4"/>
        <v>8.7750000000000004</v>
      </c>
      <c r="Q134" s="61">
        <f t="shared" ref="Q134:Q152" si="10">N134-P134</f>
        <v>20.024999999999999</v>
      </c>
      <c r="R134" s="133">
        <f t="shared" ref="R134:R152" si="11">I134+M134</f>
        <v>1061.424</v>
      </c>
      <c r="S134" s="133">
        <f t="shared" ref="S134:S152" si="12">(N134-P134-Q134)*4.9+Q134*4.9</f>
        <v>98.122500000000002</v>
      </c>
      <c r="U134" s="134">
        <f t="shared" si="5"/>
        <v>1159.5464999999999</v>
      </c>
    </row>
    <row r="135" spans="1:36" ht="17.25" customHeight="1" x14ac:dyDescent="0.25">
      <c r="A135" s="717" t="s">
        <v>540</v>
      </c>
      <c r="B135" s="717"/>
      <c r="C135" s="718"/>
      <c r="D135" s="18">
        <v>0.3</v>
      </c>
      <c r="E135" s="18">
        <v>0.2</v>
      </c>
      <c r="F135" s="34">
        <v>1000</v>
      </c>
      <c r="G135" s="34">
        <f t="shared" si="6"/>
        <v>58.5</v>
      </c>
      <c r="H135" s="43">
        <f t="shared" si="1"/>
        <v>4.68</v>
      </c>
      <c r="I135" s="135">
        <f t="shared" si="7"/>
        <v>35.380799999999994</v>
      </c>
      <c r="J135" s="34">
        <f t="shared" si="2"/>
        <v>35.1</v>
      </c>
      <c r="K135" s="34">
        <v>200</v>
      </c>
      <c r="L135" s="43">
        <v>0</v>
      </c>
      <c r="M135" s="43">
        <f t="shared" si="8"/>
        <v>44.225999999999999</v>
      </c>
      <c r="N135" s="43">
        <f t="shared" si="9"/>
        <v>5.76</v>
      </c>
      <c r="O135" s="43">
        <f t="shared" si="3"/>
        <v>1.7550000000000001</v>
      </c>
      <c r="P135" s="43">
        <f t="shared" si="4"/>
        <v>1.7550000000000001</v>
      </c>
      <c r="Q135" s="62">
        <f t="shared" si="10"/>
        <v>4.0049999999999999</v>
      </c>
      <c r="R135" s="135">
        <f t="shared" si="11"/>
        <v>79.606799999999993</v>
      </c>
      <c r="S135" s="135">
        <f t="shared" si="12"/>
        <v>19.624500000000001</v>
      </c>
      <c r="U135" s="136">
        <f t="shared" si="5"/>
        <v>99.23129999999999</v>
      </c>
    </row>
    <row r="136" spans="1:36" ht="17.25" customHeight="1" x14ac:dyDescent="0.25">
      <c r="A136" s="719"/>
      <c r="B136" s="719"/>
      <c r="C136" s="720"/>
      <c r="D136" s="36">
        <v>0.3</v>
      </c>
      <c r="E136" s="36">
        <v>0.2</v>
      </c>
      <c r="F136" s="37">
        <v>5000</v>
      </c>
      <c r="G136" s="37">
        <f t="shared" si="6"/>
        <v>292.5</v>
      </c>
      <c r="H136" s="44">
        <f t="shared" si="1"/>
        <v>23.400000000000002</v>
      </c>
      <c r="I136" s="137">
        <f t="shared" si="7"/>
        <v>176.904</v>
      </c>
      <c r="J136" s="37">
        <f t="shared" si="2"/>
        <v>175.5</v>
      </c>
      <c r="K136" s="37">
        <v>200</v>
      </c>
      <c r="L136" s="44">
        <v>0</v>
      </c>
      <c r="M136" s="44">
        <f t="shared" si="8"/>
        <v>221.13</v>
      </c>
      <c r="N136" s="44">
        <f t="shared" si="9"/>
        <v>28.799999999999997</v>
      </c>
      <c r="O136" s="44">
        <f t="shared" si="3"/>
        <v>8.7750000000000004</v>
      </c>
      <c r="P136" s="44">
        <f t="shared" si="4"/>
        <v>8.7750000000000004</v>
      </c>
      <c r="Q136" s="301">
        <f t="shared" si="10"/>
        <v>20.024999999999999</v>
      </c>
      <c r="R136" s="137">
        <f t="shared" si="11"/>
        <v>398.03399999999999</v>
      </c>
      <c r="S136" s="137">
        <f t="shared" si="12"/>
        <v>98.122500000000002</v>
      </c>
      <c r="U136" s="138">
        <f t="shared" si="5"/>
        <v>496.15649999999999</v>
      </c>
    </row>
    <row r="137" spans="1:36" ht="17.25" customHeight="1" x14ac:dyDescent="0.25">
      <c r="A137" s="717" t="s">
        <v>542</v>
      </c>
      <c r="B137" s="717"/>
      <c r="C137" s="718"/>
      <c r="D137" s="18">
        <v>0</v>
      </c>
      <c r="E137" s="18">
        <v>0.8</v>
      </c>
      <c r="F137" s="34">
        <v>1000</v>
      </c>
      <c r="G137" s="34">
        <f t="shared" si="6"/>
        <v>58.5</v>
      </c>
      <c r="H137" s="43">
        <f t="shared" si="1"/>
        <v>4.68</v>
      </c>
      <c r="I137" s="135">
        <f t="shared" si="7"/>
        <v>0</v>
      </c>
      <c r="J137" s="34">
        <f t="shared" si="2"/>
        <v>35.1</v>
      </c>
      <c r="K137" s="34">
        <v>200</v>
      </c>
      <c r="L137" s="43">
        <v>0</v>
      </c>
      <c r="M137" s="43">
        <f t="shared" si="8"/>
        <v>176.904</v>
      </c>
      <c r="N137" s="43">
        <f t="shared" si="9"/>
        <v>5.76</v>
      </c>
      <c r="O137" s="43">
        <f t="shared" si="3"/>
        <v>1.7550000000000001</v>
      </c>
      <c r="P137" s="43">
        <f t="shared" si="4"/>
        <v>1.7550000000000001</v>
      </c>
      <c r="Q137" s="62">
        <f t="shared" si="10"/>
        <v>4.0049999999999999</v>
      </c>
      <c r="R137" s="135">
        <f t="shared" si="11"/>
        <v>176.904</v>
      </c>
      <c r="S137" s="135">
        <f t="shared" si="12"/>
        <v>19.624500000000001</v>
      </c>
      <c r="U137" s="136">
        <f t="shared" si="5"/>
        <v>196.52850000000001</v>
      </c>
    </row>
    <row r="138" spans="1:36" ht="17.25" customHeight="1" x14ac:dyDescent="0.25">
      <c r="A138" s="719"/>
      <c r="B138" s="719"/>
      <c r="C138" s="720"/>
      <c r="D138" s="36">
        <v>0</v>
      </c>
      <c r="E138" s="36">
        <v>0.8</v>
      </c>
      <c r="F138" s="37">
        <v>5000</v>
      </c>
      <c r="G138" s="37">
        <f t="shared" si="6"/>
        <v>292.5</v>
      </c>
      <c r="H138" s="44">
        <f t="shared" si="1"/>
        <v>23.400000000000002</v>
      </c>
      <c r="I138" s="133">
        <f t="shared" si="7"/>
        <v>0</v>
      </c>
      <c r="J138" s="37">
        <f t="shared" si="2"/>
        <v>175.5</v>
      </c>
      <c r="K138" s="37">
        <v>200</v>
      </c>
      <c r="L138" s="44">
        <v>0</v>
      </c>
      <c r="M138" s="44">
        <f t="shared" si="8"/>
        <v>884.52</v>
      </c>
      <c r="N138" s="45">
        <f t="shared" si="9"/>
        <v>28.799999999999997</v>
      </c>
      <c r="O138" s="45">
        <f t="shared" si="3"/>
        <v>8.7750000000000004</v>
      </c>
      <c r="P138" s="45">
        <f t="shared" si="4"/>
        <v>8.7750000000000004</v>
      </c>
      <c r="Q138" s="61">
        <f t="shared" si="10"/>
        <v>20.024999999999999</v>
      </c>
      <c r="R138" s="133">
        <f t="shared" si="11"/>
        <v>884.52</v>
      </c>
      <c r="S138" s="133">
        <f t="shared" si="12"/>
        <v>98.122500000000002</v>
      </c>
      <c r="U138" s="134">
        <f t="shared" si="5"/>
        <v>982.64249999999993</v>
      </c>
    </row>
    <row r="139" spans="1:36" ht="17.25" customHeight="1" x14ac:dyDescent="0.25">
      <c r="A139" s="717" t="s">
        <v>538</v>
      </c>
      <c r="B139" s="717"/>
      <c r="C139" s="718"/>
      <c r="D139" s="18">
        <v>0</v>
      </c>
      <c r="E139" s="18">
        <v>0.2</v>
      </c>
      <c r="F139" s="34">
        <v>1000</v>
      </c>
      <c r="G139" s="34">
        <f t="shared" si="6"/>
        <v>58.5</v>
      </c>
      <c r="H139" s="43">
        <f t="shared" si="1"/>
        <v>4.68</v>
      </c>
      <c r="I139" s="135">
        <f t="shared" si="7"/>
        <v>0</v>
      </c>
      <c r="J139" s="34">
        <f t="shared" si="2"/>
        <v>35.1</v>
      </c>
      <c r="K139" s="34">
        <v>200</v>
      </c>
      <c r="L139" s="43">
        <v>0</v>
      </c>
      <c r="M139" s="43">
        <f t="shared" si="8"/>
        <v>44.225999999999999</v>
      </c>
      <c r="N139" s="43">
        <f t="shared" si="9"/>
        <v>5.76</v>
      </c>
      <c r="O139" s="43">
        <f t="shared" si="3"/>
        <v>1.7550000000000001</v>
      </c>
      <c r="P139" s="43">
        <f t="shared" si="4"/>
        <v>1.7550000000000001</v>
      </c>
      <c r="Q139" s="62">
        <f t="shared" si="10"/>
        <v>4.0049999999999999</v>
      </c>
      <c r="R139" s="135">
        <f t="shared" si="11"/>
        <v>44.225999999999999</v>
      </c>
      <c r="S139" s="135">
        <f t="shared" si="12"/>
        <v>19.624500000000001</v>
      </c>
      <c r="U139" s="136">
        <f t="shared" si="5"/>
        <v>63.850499999999997</v>
      </c>
    </row>
    <row r="140" spans="1:36" ht="17.25" customHeight="1" x14ac:dyDescent="0.25">
      <c r="A140" s="719"/>
      <c r="B140" s="719"/>
      <c r="C140" s="720"/>
      <c r="D140" s="36">
        <v>0</v>
      </c>
      <c r="E140" s="36">
        <v>0.2</v>
      </c>
      <c r="F140" s="37">
        <v>5000</v>
      </c>
      <c r="G140" s="37">
        <f t="shared" si="6"/>
        <v>292.5</v>
      </c>
      <c r="H140" s="44">
        <f t="shared" si="1"/>
        <v>23.400000000000002</v>
      </c>
      <c r="I140" s="133">
        <f t="shared" si="7"/>
        <v>0</v>
      </c>
      <c r="J140" s="37">
        <f t="shared" si="2"/>
        <v>175.5</v>
      </c>
      <c r="K140" s="37">
        <v>200</v>
      </c>
      <c r="L140" s="44">
        <v>0</v>
      </c>
      <c r="M140" s="44">
        <f t="shared" si="8"/>
        <v>221.13</v>
      </c>
      <c r="N140" s="45">
        <f t="shared" si="9"/>
        <v>28.799999999999997</v>
      </c>
      <c r="O140" s="45">
        <f t="shared" si="3"/>
        <v>8.7750000000000004</v>
      </c>
      <c r="P140" s="45">
        <f t="shared" si="4"/>
        <v>8.7750000000000004</v>
      </c>
      <c r="Q140" s="61">
        <f t="shared" si="10"/>
        <v>20.024999999999999</v>
      </c>
      <c r="R140" s="133">
        <f t="shared" si="11"/>
        <v>221.13</v>
      </c>
      <c r="S140" s="133">
        <f t="shared" si="12"/>
        <v>98.122500000000002</v>
      </c>
      <c r="U140" s="134">
        <f t="shared" si="5"/>
        <v>319.2525</v>
      </c>
    </row>
    <row r="141" spans="1:36" ht="17.25" customHeight="1" x14ac:dyDescent="0.25">
      <c r="A141" s="717" t="s">
        <v>541</v>
      </c>
      <c r="B141" s="717"/>
      <c r="C141" s="718"/>
      <c r="D141" s="18">
        <v>0</v>
      </c>
      <c r="E141" s="18">
        <v>0.2</v>
      </c>
      <c r="F141" s="34">
        <v>1000</v>
      </c>
      <c r="G141" s="34">
        <f t="shared" si="6"/>
        <v>58.5</v>
      </c>
      <c r="H141" s="43">
        <f t="shared" si="1"/>
        <v>4.68</v>
      </c>
      <c r="I141" s="135">
        <f t="shared" si="7"/>
        <v>0</v>
      </c>
      <c r="J141" s="34">
        <f t="shared" si="2"/>
        <v>35.1</v>
      </c>
      <c r="K141" s="34">
        <v>200</v>
      </c>
      <c r="L141" s="43">
        <v>0</v>
      </c>
      <c r="M141" s="43">
        <f t="shared" si="8"/>
        <v>44.225999999999999</v>
      </c>
      <c r="N141" s="43">
        <f t="shared" si="9"/>
        <v>5.76</v>
      </c>
      <c r="O141" s="43">
        <f t="shared" si="3"/>
        <v>1.7550000000000001</v>
      </c>
      <c r="P141" s="43">
        <f t="shared" si="4"/>
        <v>1.7550000000000001</v>
      </c>
      <c r="Q141" s="62">
        <f t="shared" si="10"/>
        <v>4.0049999999999999</v>
      </c>
      <c r="R141" s="135">
        <f t="shared" si="11"/>
        <v>44.225999999999999</v>
      </c>
      <c r="S141" s="135">
        <f t="shared" si="12"/>
        <v>19.624500000000001</v>
      </c>
      <c r="U141" s="136">
        <f t="shared" si="5"/>
        <v>63.850499999999997</v>
      </c>
    </row>
    <row r="142" spans="1:36" ht="17.25" customHeight="1" x14ac:dyDescent="0.25">
      <c r="A142" s="719"/>
      <c r="B142" s="719"/>
      <c r="C142" s="720"/>
      <c r="D142" s="36">
        <v>0</v>
      </c>
      <c r="E142" s="36">
        <v>0.2</v>
      </c>
      <c r="F142" s="37">
        <v>5000</v>
      </c>
      <c r="G142" s="37">
        <f t="shared" si="6"/>
        <v>292.5</v>
      </c>
      <c r="H142" s="44">
        <f t="shared" si="1"/>
        <v>23.400000000000002</v>
      </c>
      <c r="I142" s="137">
        <f t="shared" si="7"/>
        <v>0</v>
      </c>
      <c r="J142" s="37">
        <f t="shared" si="2"/>
        <v>175.5</v>
      </c>
      <c r="K142" s="37">
        <v>200</v>
      </c>
      <c r="L142" s="44">
        <v>0</v>
      </c>
      <c r="M142" s="44">
        <f t="shared" si="8"/>
        <v>221.13</v>
      </c>
      <c r="N142" s="44">
        <f t="shared" si="9"/>
        <v>28.799999999999997</v>
      </c>
      <c r="O142" s="44">
        <f t="shared" si="3"/>
        <v>8.7750000000000004</v>
      </c>
      <c r="P142" s="44">
        <f t="shared" si="4"/>
        <v>8.7750000000000004</v>
      </c>
      <c r="Q142" s="301">
        <f t="shared" si="10"/>
        <v>20.024999999999999</v>
      </c>
      <c r="R142" s="137">
        <f t="shared" si="11"/>
        <v>221.13</v>
      </c>
      <c r="S142" s="137">
        <f t="shared" si="12"/>
        <v>98.122500000000002</v>
      </c>
      <c r="U142" s="138">
        <f t="shared" si="5"/>
        <v>319.2525</v>
      </c>
    </row>
    <row r="143" spans="1:36" ht="17.25" customHeight="1" x14ac:dyDescent="0.25">
      <c r="A143" s="717" t="s">
        <v>543</v>
      </c>
      <c r="B143" s="717"/>
      <c r="C143" s="718"/>
      <c r="D143" s="18">
        <v>0.3</v>
      </c>
      <c r="E143" s="18">
        <v>0.8</v>
      </c>
      <c r="F143" s="34">
        <v>1000</v>
      </c>
      <c r="G143" s="34">
        <f t="shared" si="6"/>
        <v>58.5</v>
      </c>
      <c r="H143" s="43">
        <f t="shared" si="1"/>
        <v>4.68</v>
      </c>
      <c r="I143" s="135">
        <f t="shared" si="7"/>
        <v>35.380799999999994</v>
      </c>
      <c r="J143" s="34">
        <f t="shared" si="2"/>
        <v>35.1</v>
      </c>
      <c r="K143" s="34">
        <v>200</v>
      </c>
      <c r="L143" s="43">
        <v>0</v>
      </c>
      <c r="M143" s="43">
        <f t="shared" si="8"/>
        <v>176.904</v>
      </c>
      <c r="N143" s="43">
        <f t="shared" si="9"/>
        <v>5.76</v>
      </c>
      <c r="O143" s="43">
        <f t="shared" si="3"/>
        <v>1.7550000000000001</v>
      </c>
      <c r="P143" s="43">
        <f t="shared" si="4"/>
        <v>1.7550000000000001</v>
      </c>
      <c r="Q143" s="62">
        <f t="shared" si="10"/>
        <v>4.0049999999999999</v>
      </c>
      <c r="R143" s="135">
        <f t="shared" si="11"/>
        <v>212.28479999999999</v>
      </c>
      <c r="S143" s="135">
        <f t="shared" si="12"/>
        <v>19.624500000000001</v>
      </c>
      <c r="U143" s="136">
        <f t="shared" si="5"/>
        <v>231.9093</v>
      </c>
    </row>
    <row r="144" spans="1:36" ht="17.25" customHeight="1" x14ac:dyDescent="0.25">
      <c r="A144" s="719"/>
      <c r="B144" s="719"/>
      <c r="C144" s="720"/>
      <c r="D144" s="36">
        <v>0.3</v>
      </c>
      <c r="E144" s="36">
        <v>0.8</v>
      </c>
      <c r="F144" s="37">
        <v>5000</v>
      </c>
      <c r="G144" s="37">
        <f t="shared" si="6"/>
        <v>292.5</v>
      </c>
      <c r="H144" s="44">
        <f t="shared" si="1"/>
        <v>23.400000000000002</v>
      </c>
      <c r="I144" s="137">
        <f t="shared" si="7"/>
        <v>176.904</v>
      </c>
      <c r="J144" s="37">
        <f t="shared" si="2"/>
        <v>175.5</v>
      </c>
      <c r="K144" s="37">
        <v>200</v>
      </c>
      <c r="L144" s="44">
        <v>0</v>
      </c>
      <c r="M144" s="44">
        <f t="shared" si="8"/>
        <v>884.52</v>
      </c>
      <c r="N144" s="44">
        <f t="shared" si="9"/>
        <v>28.799999999999997</v>
      </c>
      <c r="O144" s="44">
        <f t="shared" si="3"/>
        <v>8.7750000000000004</v>
      </c>
      <c r="P144" s="44">
        <f t="shared" si="4"/>
        <v>8.7750000000000004</v>
      </c>
      <c r="Q144" s="301">
        <f t="shared" si="10"/>
        <v>20.024999999999999</v>
      </c>
      <c r="R144" s="137">
        <f t="shared" si="11"/>
        <v>1061.424</v>
      </c>
      <c r="S144" s="137">
        <f t="shared" si="12"/>
        <v>98.122500000000002</v>
      </c>
      <c r="U144" s="138">
        <f t="shared" si="5"/>
        <v>1159.5464999999999</v>
      </c>
    </row>
    <row r="145" spans="1:21" ht="17.25" customHeight="1" x14ac:dyDescent="0.25">
      <c r="A145" s="54"/>
      <c r="B145" s="93"/>
      <c r="C145" s="31"/>
      <c r="D145" s="18">
        <v>0</v>
      </c>
      <c r="E145" s="18">
        <v>0</v>
      </c>
      <c r="F145" s="34">
        <v>1000</v>
      </c>
      <c r="G145" s="34">
        <f t="shared" si="6"/>
        <v>58.5</v>
      </c>
      <c r="H145" s="43">
        <f t="shared" si="1"/>
        <v>4.68</v>
      </c>
      <c r="I145" s="135">
        <f t="shared" si="7"/>
        <v>0</v>
      </c>
      <c r="J145" s="34">
        <f t="shared" si="2"/>
        <v>35.1</v>
      </c>
      <c r="K145" s="34">
        <v>200</v>
      </c>
      <c r="L145" s="43">
        <v>0</v>
      </c>
      <c r="M145" s="43">
        <f t="shared" si="8"/>
        <v>0</v>
      </c>
      <c r="N145" s="43">
        <f t="shared" si="9"/>
        <v>5.76</v>
      </c>
      <c r="O145" s="43">
        <f t="shared" si="3"/>
        <v>1.7550000000000001</v>
      </c>
      <c r="P145" s="43">
        <f t="shared" si="4"/>
        <v>1.7550000000000001</v>
      </c>
      <c r="Q145" s="62">
        <f t="shared" si="10"/>
        <v>4.0049999999999999</v>
      </c>
      <c r="R145" s="135">
        <f t="shared" si="11"/>
        <v>0</v>
      </c>
      <c r="S145" s="135">
        <f t="shared" si="12"/>
        <v>19.624500000000001</v>
      </c>
      <c r="U145" s="136">
        <f t="shared" si="5"/>
        <v>19.624500000000001</v>
      </c>
    </row>
    <row r="146" spans="1:21" ht="17.25" customHeight="1" x14ac:dyDescent="0.25">
      <c r="A146" s="55"/>
      <c r="B146" s="94"/>
      <c r="C146" s="35"/>
      <c r="D146" s="36">
        <v>0</v>
      </c>
      <c r="E146" s="36">
        <v>0</v>
      </c>
      <c r="F146" s="37">
        <v>5000</v>
      </c>
      <c r="G146" s="37">
        <f t="shared" si="6"/>
        <v>292.5</v>
      </c>
      <c r="H146" s="44">
        <f t="shared" si="1"/>
        <v>23.400000000000002</v>
      </c>
      <c r="I146" s="137">
        <f t="shared" si="7"/>
        <v>0</v>
      </c>
      <c r="J146" s="37">
        <f t="shared" si="2"/>
        <v>175.5</v>
      </c>
      <c r="K146" s="37">
        <v>200</v>
      </c>
      <c r="L146" s="44">
        <v>0</v>
      </c>
      <c r="M146" s="44">
        <f t="shared" si="8"/>
        <v>0</v>
      </c>
      <c r="N146" s="44">
        <f t="shared" si="9"/>
        <v>28.799999999999997</v>
      </c>
      <c r="O146" s="44">
        <f t="shared" si="3"/>
        <v>8.7750000000000004</v>
      </c>
      <c r="P146" s="44">
        <f t="shared" si="4"/>
        <v>8.7750000000000004</v>
      </c>
      <c r="Q146" s="301">
        <f t="shared" si="10"/>
        <v>20.024999999999999</v>
      </c>
      <c r="R146" s="137">
        <f t="shared" si="11"/>
        <v>0</v>
      </c>
      <c r="S146" s="137">
        <f t="shared" si="12"/>
        <v>98.122500000000002</v>
      </c>
      <c r="U146" s="138">
        <f t="shared" si="5"/>
        <v>98.122500000000002</v>
      </c>
    </row>
    <row r="147" spans="1:21" ht="17.25" customHeight="1" x14ac:dyDescent="0.25">
      <c r="A147" s="54"/>
      <c r="B147" s="93"/>
      <c r="C147" s="31"/>
      <c r="D147" s="18">
        <v>0.3</v>
      </c>
      <c r="E147" s="18">
        <v>0.3</v>
      </c>
      <c r="F147" s="34">
        <v>1000</v>
      </c>
      <c r="G147" s="34">
        <f t="shared" si="6"/>
        <v>58.5</v>
      </c>
      <c r="H147" s="43">
        <f t="shared" si="1"/>
        <v>4.68</v>
      </c>
      <c r="I147" s="135">
        <f t="shared" si="7"/>
        <v>35.380799999999994</v>
      </c>
      <c r="J147" s="34">
        <f t="shared" si="2"/>
        <v>35.1</v>
      </c>
      <c r="K147" s="34">
        <v>200</v>
      </c>
      <c r="L147" s="43">
        <v>0</v>
      </c>
      <c r="M147" s="43">
        <f t="shared" si="8"/>
        <v>66.338999999999999</v>
      </c>
      <c r="N147" s="43">
        <f t="shared" si="9"/>
        <v>5.76</v>
      </c>
      <c r="O147" s="43">
        <f t="shared" si="3"/>
        <v>1.7550000000000001</v>
      </c>
      <c r="P147" s="43">
        <f t="shared" si="4"/>
        <v>1.7550000000000001</v>
      </c>
      <c r="Q147" s="62">
        <f t="shared" si="10"/>
        <v>4.0049999999999999</v>
      </c>
      <c r="R147" s="135">
        <f t="shared" si="11"/>
        <v>101.71979999999999</v>
      </c>
      <c r="S147" s="135">
        <f t="shared" si="12"/>
        <v>19.624500000000001</v>
      </c>
      <c r="U147" s="136">
        <f t="shared" si="5"/>
        <v>121.34429999999999</v>
      </c>
    </row>
    <row r="148" spans="1:21" ht="17.25" customHeight="1" x14ac:dyDescent="0.25">
      <c r="A148" s="56"/>
      <c r="B148" s="16"/>
      <c r="C148" s="46"/>
      <c r="D148" s="36">
        <v>0.3</v>
      </c>
      <c r="E148" s="36">
        <v>0.3</v>
      </c>
      <c r="F148" s="37">
        <v>5000</v>
      </c>
      <c r="G148" s="37">
        <f t="shared" si="6"/>
        <v>292.5</v>
      </c>
      <c r="H148" s="44">
        <f t="shared" si="1"/>
        <v>23.400000000000002</v>
      </c>
      <c r="I148" s="133">
        <f t="shared" si="7"/>
        <v>176.904</v>
      </c>
      <c r="J148" s="37">
        <f t="shared" si="2"/>
        <v>175.5</v>
      </c>
      <c r="K148" s="37">
        <v>200</v>
      </c>
      <c r="L148" s="44">
        <v>0</v>
      </c>
      <c r="M148" s="44">
        <f t="shared" si="8"/>
        <v>331.69499999999999</v>
      </c>
      <c r="N148" s="45">
        <f t="shared" si="9"/>
        <v>28.799999999999997</v>
      </c>
      <c r="O148" s="45">
        <f t="shared" si="3"/>
        <v>8.7750000000000004</v>
      </c>
      <c r="P148" s="61">
        <f t="shared" si="4"/>
        <v>8.7750000000000004</v>
      </c>
      <c r="Q148" s="61">
        <f t="shared" si="10"/>
        <v>20.024999999999999</v>
      </c>
      <c r="R148" s="133">
        <f t="shared" si="11"/>
        <v>508.59899999999999</v>
      </c>
      <c r="S148" s="133">
        <f t="shared" si="12"/>
        <v>98.122500000000002</v>
      </c>
      <c r="U148" s="134">
        <f t="shared" si="5"/>
        <v>606.72149999999999</v>
      </c>
    </row>
    <row r="149" spans="1:21" ht="17.25" customHeight="1" x14ac:dyDescent="0.25">
      <c r="A149" s="54"/>
      <c r="B149" s="93"/>
      <c r="C149" s="31"/>
      <c r="D149" s="18">
        <v>0.3</v>
      </c>
      <c r="E149" s="18">
        <v>0.8</v>
      </c>
      <c r="F149" s="34">
        <v>1000</v>
      </c>
      <c r="G149" s="34">
        <f t="shared" si="6"/>
        <v>58.5</v>
      </c>
      <c r="H149" s="43">
        <f t="shared" si="1"/>
        <v>4.68</v>
      </c>
      <c r="I149" s="135">
        <f t="shared" si="7"/>
        <v>35.380799999999994</v>
      </c>
      <c r="J149" s="34">
        <f t="shared" si="2"/>
        <v>35.1</v>
      </c>
      <c r="K149" s="34">
        <v>200</v>
      </c>
      <c r="L149" s="43">
        <v>0</v>
      </c>
      <c r="M149" s="43">
        <f t="shared" si="8"/>
        <v>176.904</v>
      </c>
      <c r="N149" s="43">
        <f t="shared" si="9"/>
        <v>5.76</v>
      </c>
      <c r="O149" s="43">
        <f t="shared" si="3"/>
        <v>1.7550000000000001</v>
      </c>
      <c r="P149" s="62">
        <f t="shared" si="4"/>
        <v>1.7550000000000001</v>
      </c>
      <c r="Q149" s="62">
        <f t="shared" si="10"/>
        <v>4.0049999999999999</v>
      </c>
      <c r="R149" s="135">
        <f t="shared" si="11"/>
        <v>212.28479999999999</v>
      </c>
      <c r="S149" s="135">
        <f t="shared" si="12"/>
        <v>19.624500000000001</v>
      </c>
      <c r="U149" s="136">
        <f t="shared" si="5"/>
        <v>231.9093</v>
      </c>
    </row>
    <row r="150" spans="1:21" ht="17.25" customHeight="1" x14ac:dyDescent="0.25">
      <c r="A150" s="56"/>
      <c r="B150" s="16"/>
      <c r="C150" s="46"/>
      <c r="D150" s="36">
        <v>0.3</v>
      </c>
      <c r="E150" s="36">
        <v>0.8</v>
      </c>
      <c r="F150" s="37">
        <v>5000</v>
      </c>
      <c r="G150" s="37">
        <f t="shared" si="6"/>
        <v>292.5</v>
      </c>
      <c r="H150" s="44">
        <f t="shared" si="1"/>
        <v>23.400000000000002</v>
      </c>
      <c r="I150" s="133">
        <f t="shared" si="7"/>
        <v>176.904</v>
      </c>
      <c r="J150" s="37">
        <f t="shared" si="2"/>
        <v>175.5</v>
      </c>
      <c r="K150" s="37">
        <v>200</v>
      </c>
      <c r="L150" s="44">
        <v>0</v>
      </c>
      <c r="M150" s="44">
        <f t="shared" si="8"/>
        <v>884.52</v>
      </c>
      <c r="N150" s="45">
        <f t="shared" si="9"/>
        <v>28.799999999999997</v>
      </c>
      <c r="O150" s="45">
        <f t="shared" si="3"/>
        <v>8.7750000000000004</v>
      </c>
      <c r="P150" s="45">
        <f t="shared" si="4"/>
        <v>8.7750000000000004</v>
      </c>
      <c r="Q150" s="61">
        <f t="shared" si="10"/>
        <v>20.024999999999999</v>
      </c>
      <c r="R150" s="133">
        <f t="shared" si="11"/>
        <v>1061.424</v>
      </c>
      <c r="S150" s="133">
        <f t="shared" si="12"/>
        <v>98.122500000000002</v>
      </c>
      <c r="U150" s="134">
        <f t="shared" si="5"/>
        <v>1159.5464999999999</v>
      </c>
    </row>
    <row r="151" spans="1:21" ht="17.25" customHeight="1" x14ac:dyDescent="0.25">
      <c r="A151" s="54"/>
      <c r="B151" s="93"/>
      <c r="C151" s="31"/>
      <c r="D151" s="18">
        <v>0.3</v>
      </c>
      <c r="E151" s="18">
        <v>0.8</v>
      </c>
      <c r="F151" s="34">
        <v>1000</v>
      </c>
      <c r="G151" s="34">
        <f t="shared" si="6"/>
        <v>58.5</v>
      </c>
      <c r="H151" s="43">
        <f t="shared" si="1"/>
        <v>4.68</v>
      </c>
      <c r="I151" s="135">
        <f t="shared" si="7"/>
        <v>35.380799999999994</v>
      </c>
      <c r="J151" s="34">
        <f t="shared" si="2"/>
        <v>35.1</v>
      </c>
      <c r="K151" s="34">
        <v>200</v>
      </c>
      <c r="L151" s="43">
        <v>0</v>
      </c>
      <c r="M151" s="43">
        <f t="shared" si="8"/>
        <v>176.904</v>
      </c>
      <c r="N151" s="43">
        <f t="shared" si="9"/>
        <v>5.76</v>
      </c>
      <c r="O151" s="43">
        <f t="shared" si="3"/>
        <v>1.7550000000000001</v>
      </c>
      <c r="P151" s="43">
        <f t="shared" si="4"/>
        <v>1.7550000000000001</v>
      </c>
      <c r="Q151" s="62">
        <f t="shared" si="10"/>
        <v>4.0049999999999999</v>
      </c>
      <c r="R151" s="135">
        <f t="shared" si="11"/>
        <v>212.28479999999999</v>
      </c>
      <c r="S151" s="135">
        <f t="shared" si="12"/>
        <v>19.624500000000001</v>
      </c>
      <c r="U151" s="136">
        <f t="shared" si="5"/>
        <v>231.9093</v>
      </c>
    </row>
    <row r="152" spans="1:21" ht="17.25" customHeight="1" x14ac:dyDescent="0.25">
      <c r="A152" s="56"/>
      <c r="B152" s="16"/>
      <c r="C152" s="16"/>
      <c r="D152" s="36">
        <v>0.3</v>
      </c>
      <c r="E152" s="47">
        <v>0.8</v>
      </c>
      <c r="F152" s="37">
        <v>5000</v>
      </c>
      <c r="G152" s="37">
        <f t="shared" si="6"/>
        <v>292.5</v>
      </c>
      <c r="H152" s="44">
        <f t="shared" si="1"/>
        <v>23.400000000000002</v>
      </c>
      <c r="I152" s="137">
        <f t="shared" si="7"/>
        <v>176.904</v>
      </c>
      <c r="J152" s="37">
        <f t="shared" si="2"/>
        <v>175.5</v>
      </c>
      <c r="K152" s="37">
        <v>200</v>
      </c>
      <c r="L152" s="44">
        <v>0</v>
      </c>
      <c r="M152" s="44">
        <f t="shared" si="8"/>
        <v>884.52</v>
      </c>
      <c r="N152" s="44">
        <f t="shared" si="9"/>
        <v>28.799999999999997</v>
      </c>
      <c r="O152" s="44">
        <f t="shared" si="3"/>
        <v>8.7750000000000004</v>
      </c>
      <c r="P152" s="44">
        <f t="shared" si="4"/>
        <v>8.7750000000000004</v>
      </c>
      <c r="Q152" s="301">
        <f t="shared" si="10"/>
        <v>20.024999999999999</v>
      </c>
      <c r="R152" s="137">
        <f t="shared" si="11"/>
        <v>1061.424</v>
      </c>
      <c r="S152" s="137">
        <f t="shared" si="12"/>
        <v>98.122500000000002</v>
      </c>
      <c r="U152" s="138">
        <f t="shared" si="5"/>
        <v>1159.5464999999999</v>
      </c>
    </row>
    <row r="153" spans="1:21" ht="17.25" customHeight="1" thickBot="1" x14ac:dyDescent="0.3">
      <c r="A153" s="57"/>
      <c r="B153" s="32"/>
      <c r="C153" s="32"/>
      <c r="D153" s="19"/>
      <c r="E153" s="20"/>
      <c r="F153" s="20"/>
      <c r="G153" s="20"/>
      <c r="H153" s="20"/>
      <c r="I153" s="20"/>
      <c r="J153" s="20"/>
      <c r="K153" s="20"/>
      <c r="L153" s="20"/>
      <c r="M153" s="20"/>
      <c r="N153" s="20"/>
      <c r="O153" s="20"/>
      <c r="P153" s="20"/>
      <c r="Q153" s="20"/>
      <c r="R153" s="20"/>
      <c r="S153" s="20"/>
      <c r="U153" s="21"/>
    </row>
    <row r="154" spans="1:21" ht="21.75" customHeight="1" x14ac:dyDescent="0.25"/>
  </sheetData>
  <sheetProtection password="D286" sheet="1" objects="1" scenarios="1"/>
  <mergeCells count="15">
    <mergeCell ref="A139:C140"/>
    <mergeCell ref="A141:C142"/>
    <mergeCell ref="A143:C144"/>
    <mergeCell ref="A6:N6"/>
    <mergeCell ref="D89:E89"/>
    <mergeCell ref="A133:C134"/>
    <mergeCell ref="A135:C136"/>
    <mergeCell ref="A137:C138"/>
    <mergeCell ref="V78:X78"/>
    <mergeCell ref="E107:F110"/>
    <mergeCell ref="H107:I110"/>
    <mergeCell ref="K107:L110"/>
    <mergeCell ref="N107:O110"/>
    <mergeCell ref="P107:Q110"/>
    <mergeCell ref="R107:S110"/>
  </mergeCells>
  <phoneticPr fontId="2" type="noConversion"/>
  <pageMargins left="0.39370078740157483" right="0.15748031496062992" top="0.51181102362204722" bottom="0.31496062992125984" header="0.51181102362204722" footer="0.27559055118110237"/>
  <pageSetup paperSize="9" scale="60" firstPageNumber="6" fitToHeight="0" orientation="portrait" useFirstPageNumber="1" r:id="rId1"/>
  <headerFooter alignWithMargins="0">
    <oddFooter>&amp;C&amp;14STW Graphs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35"/>
  <sheetViews>
    <sheetView view="pageBreakPreview" zoomScaleNormal="100" workbookViewId="0">
      <selection activeCell="C3" sqref="C3:N3"/>
    </sheetView>
  </sheetViews>
  <sheetFormatPr defaultColWidth="9.109375" defaultRowHeight="13.8" x14ac:dyDescent="0.3"/>
  <cols>
    <col min="1" max="1" width="5.33203125" style="28" customWidth="1"/>
    <col min="2" max="2" width="11" style="28" customWidth="1"/>
    <col min="3" max="3" width="18.6640625" style="28" customWidth="1"/>
    <col min="4" max="4" width="6" style="3" customWidth="1"/>
    <col min="5" max="5" width="5.109375" style="3" customWidth="1"/>
    <col min="6" max="6" width="6.44140625" style="3" customWidth="1"/>
    <col min="7" max="7" width="6.6640625" style="3" customWidth="1"/>
    <col min="8" max="8" width="6.5546875" style="3" customWidth="1"/>
    <col min="9" max="9" width="9.109375" style="3"/>
    <col min="10" max="10" width="7.5546875" style="3" customWidth="1"/>
    <col min="11" max="11" width="10.109375" style="3" customWidth="1"/>
    <col min="12" max="12" width="9.109375" style="3"/>
    <col min="13" max="13" width="1" style="3" customWidth="1"/>
    <col min="14" max="14" width="8.33203125" style="3" customWidth="1"/>
    <col min="15" max="15" width="3.5546875" style="3" customWidth="1"/>
    <col min="16" max="16" width="6" style="3" customWidth="1"/>
    <col min="17" max="17" width="7.88671875" style="3" customWidth="1"/>
    <col min="18" max="18" width="7.44140625" style="3" customWidth="1"/>
    <col min="19" max="19" width="7.109375" style="3" customWidth="1"/>
    <col min="20" max="16384" width="9.109375" style="3"/>
  </cols>
  <sheetData>
    <row r="1" spans="1:21" ht="18" x14ac:dyDescent="0.35">
      <c r="A1" s="8" t="s">
        <v>285</v>
      </c>
      <c r="B1" s="114"/>
      <c r="C1" s="114"/>
      <c r="D1" s="40"/>
      <c r="E1" s="40"/>
      <c r="F1" s="40"/>
      <c r="G1" s="40"/>
      <c r="H1" s="40"/>
      <c r="I1" s="40"/>
      <c r="J1" s="40"/>
      <c r="K1" s="40"/>
      <c r="L1" s="40"/>
      <c r="M1" s="125"/>
      <c r="N1" s="125"/>
      <c r="O1" s="125"/>
      <c r="P1" s="40"/>
    </row>
    <row r="2" spans="1:21" ht="12.75" customHeight="1" x14ac:dyDescent="0.3">
      <c r="A2" s="26" t="s">
        <v>286</v>
      </c>
      <c r="B2" s="114"/>
      <c r="C2" s="114"/>
      <c r="D2" s="40"/>
      <c r="E2" s="40"/>
      <c r="F2" s="40"/>
      <c r="G2" s="40"/>
      <c r="H2" s="40"/>
      <c r="I2" s="40"/>
      <c r="J2" s="40"/>
      <c r="K2" s="40"/>
      <c r="L2" s="40"/>
      <c r="M2" s="125"/>
      <c r="N2" s="125"/>
      <c r="O2" s="125"/>
    </row>
    <row r="3" spans="1:21" ht="12.75" customHeight="1" x14ac:dyDescent="0.3">
      <c r="A3" s="104"/>
      <c r="B3" s="23"/>
      <c r="C3" s="23"/>
      <c r="D3" s="26"/>
      <c r="E3" s="26"/>
      <c r="F3" s="26"/>
      <c r="G3" s="26"/>
      <c r="H3" s="26"/>
      <c r="I3" s="26"/>
      <c r="J3" s="26"/>
      <c r="K3" s="26"/>
      <c r="L3" s="26"/>
      <c r="M3" s="327"/>
      <c r="N3" s="327"/>
      <c r="O3" s="125"/>
    </row>
    <row r="4" spans="1:21" ht="12.75" customHeight="1" x14ac:dyDescent="0.3">
      <c r="A4" s="27"/>
      <c r="B4" s="26" t="s">
        <v>29</v>
      </c>
      <c r="C4" s="26"/>
      <c r="D4" s="27"/>
      <c r="E4" s="27"/>
      <c r="F4" s="27"/>
      <c r="G4" s="27"/>
      <c r="H4" s="27"/>
      <c r="I4" s="27"/>
      <c r="J4" s="27"/>
      <c r="K4" s="27"/>
      <c r="L4" s="27"/>
      <c r="M4" s="125"/>
      <c r="N4" s="125"/>
      <c r="O4" s="125"/>
    </row>
    <row r="5" spans="1:21" ht="12.75" customHeight="1" x14ac:dyDescent="0.3">
      <c r="A5" s="27"/>
      <c r="B5" s="26" t="s">
        <v>205</v>
      </c>
      <c r="C5" s="26"/>
      <c r="D5" s="27"/>
      <c r="E5" s="27"/>
      <c r="F5" s="27"/>
      <c r="G5" s="27"/>
      <c r="H5" s="27"/>
      <c r="I5" s="27"/>
      <c r="J5" s="27"/>
      <c r="K5" s="27"/>
      <c r="L5" s="27"/>
      <c r="M5" s="125"/>
      <c r="N5" s="125"/>
      <c r="O5" s="125"/>
    </row>
    <row r="6" spans="1:21" ht="12.75" customHeight="1" x14ac:dyDescent="0.3">
      <c r="A6" s="27"/>
      <c r="B6" s="26" t="s">
        <v>472</v>
      </c>
      <c r="C6" s="26"/>
      <c r="D6" s="27"/>
      <c r="E6" s="27"/>
      <c r="F6" s="27"/>
      <c r="G6" s="27"/>
      <c r="H6" s="27"/>
      <c r="I6" s="27"/>
      <c r="J6" s="27"/>
      <c r="K6" s="27"/>
      <c r="L6" s="27"/>
      <c r="M6" s="125"/>
      <c r="N6" s="125"/>
      <c r="O6" s="125"/>
    </row>
    <row r="7" spans="1:21" ht="12.75" customHeight="1" x14ac:dyDescent="0.3">
      <c r="A7" s="27"/>
      <c r="B7" s="26" t="s">
        <v>480</v>
      </c>
      <c r="C7" s="26"/>
      <c r="D7" s="27"/>
      <c r="E7" s="27"/>
      <c r="F7" s="27"/>
      <c r="G7" s="27"/>
      <c r="H7" s="27"/>
      <c r="I7" s="27"/>
      <c r="J7" s="27"/>
      <c r="K7" s="27"/>
      <c r="L7" s="27"/>
      <c r="M7" s="125"/>
      <c r="N7" s="125"/>
      <c r="O7" s="125"/>
    </row>
    <row r="8" spans="1:21" ht="12.75" customHeight="1" x14ac:dyDescent="0.3">
      <c r="A8" s="27"/>
      <c r="B8" s="26" t="s">
        <v>479</v>
      </c>
      <c r="C8" s="26"/>
      <c r="D8" s="27"/>
      <c r="E8" s="27"/>
      <c r="F8" s="27"/>
      <c r="G8" s="27"/>
      <c r="H8" s="27"/>
      <c r="I8" s="27"/>
      <c r="J8" s="27"/>
      <c r="K8" s="27"/>
      <c r="L8" s="27"/>
      <c r="M8" s="125"/>
      <c r="N8" s="125"/>
      <c r="O8" s="125"/>
    </row>
    <row r="9" spans="1:21" ht="12.75" customHeight="1" x14ac:dyDescent="0.3">
      <c r="A9" s="27"/>
      <c r="B9" s="26" t="s">
        <v>481</v>
      </c>
      <c r="C9" s="26"/>
      <c r="D9" s="27"/>
      <c r="E9" s="27"/>
      <c r="F9" s="27"/>
      <c r="G9" s="27"/>
      <c r="H9" s="27"/>
      <c r="I9" s="27"/>
      <c r="J9" s="27"/>
      <c r="K9" s="27"/>
      <c r="L9" s="27"/>
      <c r="M9" s="125"/>
      <c r="N9" s="125"/>
      <c r="O9" s="125"/>
    </row>
    <row r="10" spans="1:21" ht="12.75" customHeight="1" x14ac:dyDescent="0.3">
      <c r="A10" s="27"/>
      <c r="B10" s="26" t="s">
        <v>454</v>
      </c>
      <c r="C10" s="26"/>
      <c r="D10" s="27"/>
      <c r="E10" s="27"/>
      <c r="F10" s="27"/>
      <c r="G10" s="27"/>
      <c r="H10" s="27"/>
      <c r="I10" s="27"/>
      <c r="J10" s="27"/>
      <c r="K10" s="27"/>
      <c r="L10" s="27"/>
      <c r="M10" s="125"/>
      <c r="N10" s="125"/>
      <c r="O10" s="125"/>
    </row>
    <row r="11" spans="1:21" ht="12.75" customHeight="1" x14ac:dyDescent="0.3">
      <c r="A11" s="27"/>
      <c r="B11" s="26"/>
      <c r="C11" s="26"/>
      <c r="D11" s="27"/>
      <c r="E11" s="27"/>
      <c r="F11" s="27"/>
      <c r="G11" s="27"/>
      <c r="H11" s="27"/>
      <c r="I11" s="27"/>
      <c r="J11" s="27"/>
      <c r="K11" s="27"/>
      <c r="L11" s="27"/>
      <c r="M11" s="125"/>
      <c r="N11" s="125"/>
      <c r="O11" s="125"/>
    </row>
    <row r="12" spans="1:21" ht="12.75" customHeight="1" x14ac:dyDescent="0.3">
      <c r="A12" s="27" t="s">
        <v>41</v>
      </c>
      <c r="B12" s="28" t="s">
        <v>215</v>
      </c>
      <c r="C12" s="3"/>
      <c r="F12" s="27"/>
      <c r="G12" s="27"/>
      <c r="H12" s="27"/>
      <c r="I12" s="27"/>
      <c r="J12" s="27"/>
      <c r="K12" s="27"/>
      <c r="L12" s="27"/>
      <c r="M12" s="130"/>
      <c r="N12" s="130"/>
      <c r="O12" s="123"/>
      <c r="P12" s="27"/>
      <c r="Q12"/>
      <c r="R12"/>
      <c r="S12" s="25"/>
    </row>
    <row r="13" spans="1:21" ht="12.75" customHeight="1" x14ac:dyDescent="0.3">
      <c r="A13" s="27"/>
      <c r="B13" s="26"/>
      <c r="C13" s="26" t="s">
        <v>184</v>
      </c>
      <c r="F13" s="27"/>
      <c r="G13" s="27"/>
      <c r="H13" s="27"/>
      <c r="I13" s="27"/>
      <c r="J13" s="27"/>
      <c r="K13" s="27"/>
      <c r="L13" s="27"/>
      <c r="M13" s="120"/>
      <c r="N13" s="128"/>
      <c r="O13" s="119"/>
      <c r="P13" s="27"/>
      <c r="Q13"/>
      <c r="R13"/>
      <c r="S13" s="206"/>
      <c r="T13" s="207"/>
      <c r="U13" s="207"/>
    </row>
    <row r="14" spans="1:21" ht="12.75" customHeight="1" x14ac:dyDescent="0.3">
      <c r="A14" s="27"/>
      <c r="B14" s="6"/>
      <c r="C14" s="26" t="s">
        <v>183</v>
      </c>
      <c r="F14" s="27"/>
      <c r="G14" s="27"/>
      <c r="H14" s="27"/>
      <c r="I14" s="27"/>
      <c r="J14" s="27"/>
      <c r="K14" s="27"/>
      <c r="L14" s="27"/>
      <c r="M14" s="123"/>
      <c r="N14" s="320"/>
      <c r="O14" s="123"/>
      <c r="P14" s="27"/>
      <c r="Q14"/>
      <c r="R14"/>
      <c r="S14" s="206"/>
      <c r="T14" s="207"/>
      <c r="U14" s="207"/>
    </row>
    <row r="15" spans="1:21" ht="12.75" customHeight="1" x14ac:dyDescent="0.3">
      <c r="A15" s="27"/>
      <c r="B15" s="6"/>
      <c r="C15" s="26" t="s">
        <v>52</v>
      </c>
      <c r="F15" s="27"/>
      <c r="G15" s="27"/>
      <c r="H15" s="27"/>
      <c r="I15" s="27"/>
      <c r="J15" s="27"/>
      <c r="K15" s="27"/>
      <c r="L15" s="27"/>
      <c r="M15" s="120"/>
      <c r="N15" s="128"/>
      <c r="O15" s="119"/>
      <c r="P15" s="26"/>
      <c r="Q15"/>
      <c r="R15"/>
      <c r="S15" s="206"/>
      <c r="T15" s="207"/>
      <c r="U15" s="207"/>
    </row>
    <row r="16" spans="1:21" ht="12.75" customHeight="1" x14ac:dyDescent="0.3">
      <c r="A16" s="27"/>
      <c r="B16" s="6"/>
      <c r="C16" s="26"/>
      <c r="F16" s="27"/>
      <c r="G16" s="27"/>
      <c r="H16" s="27"/>
      <c r="I16" s="27"/>
      <c r="J16" s="27"/>
      <c r="K16" s="27"/>
      <c r="L16" s="27"/>
      <c r="M16" s="125"/>
      <c r="N16" s="125"/>
      <c r="O16" s="125"/>
      <c r="P16" s="26"/>
      <c r="Q16"/>
      <c r="R16"/>
      <c r="S16" s="206"/>
      <c r="T16" s="207"/>
      <c r="U16" s="207"/>
    </row>
    <row r="17" spans="1:21" ht="12.75" customHeight="1" x14ac:dyDescent="0.3">
      <c r="A17" s="27"/>
      <c r="B17" s="26" t="s">
        <v>473</v>
      </c>
      <c r="C17" s="3"/>
      <c r="F17" s="27"/>
      <c r="G17" s="27"/>
      <c r="H17" s="27"/>
      <c r="I17" s="27"/>
      <c r="J17" s="27"/>
      <c r="K17" s="27"/>
      <c r="L17" s="27"/>
      <c r="M17" s="120"/>
      <c r="N17" s="320"/>
      <c r="O17" s="119"/>
      <c r="P17" s="26"/>
      <c r="Q17"/>
      <c r="R17"/>
      <c r="S17" s="206"/>
      <c r="T17" s="207"/>
      <c r="U17" s="207"/>
    </row>
    <row r="18" spans="1:21" ht="12.75" customHeight="1" x14ac:dyDescent="0.3">
      <c r="A18" s="27"/>
      <c r="B18" s="6"/>
      <c r="C18" s="27" t="s">
        <v>53</v>
      </c>
      <c r="F18" s="27"/>
      <c r="G18" s="27"/>
      <c r="H18" s="27"/>
      <c r="I18" s="27"/>
      <c r="J18" s="27"/>
      <c r="K18" s="27"/>
      <c r="L18" s="27"/>
      <c r="M18" s="120"/>
      <c r="N18" s="320"/>
      <c r="O18" s="119"/>
      <c r="P18" s="26"/>
      <c r="Q18"/>
      <c r="R18"/>
      <c r="S18" s="206"/>
      <c r="T18" s="207"/>
      <c r="U18" s="207"/>
    </row>
    <row r="19" spans="1:21" ht="12.75" customHeight="1" x14ac:dyDescent="0.3">
      <c r="A19" s="27"/>
      <c r="B19" s="6"/>
      <c r="C19" s="27"/>
      <c r="F19" s="27"/>
      <c r="G19" s="27"/>
      <c r="H19" s="27"/>
      <c r="I19" s="27"/>
      <c r="J19" s="27"/>
      <c r="K19" s="27"/>
      <c r="L19" s="27"/>
      <c r="M19" s="120"/>
      <c r="N19" s="320"/>
      <c r="O19" s="119"/>
      <c r="P19" s="26"/>
      <c r="Q19"/>
      <c r="R19"/>
      <c r="S19" s="206"/>
      <c r="T19" s="207"/>
      <c r="U19" s="207"/>
    </row>
    <row r="20" spans="1:21" ht="12.75" customHeight="1" x14ac:dyDescent="0.3">
      <c r="A20" s="27" t="s">
        <v>42</v>
      </c>
      <c r="B20" s="28" t="s">
        <v>214</v>
      </c>
      <c r="C20" s="3"/>
      <c r="F20" s="27"/>
      <c r="G20" s="27"/>
      <c r="H20" s="27"/>
      <c r="I20" s="27"/>
      <c r="J20" s="27"/>
      <c r="K20" s="27"/>
      <c r="L20" s="27"/>
      <c r="M20" s="120"/>
      <c r="N20" s="320"/>
      <c r="O20" s="119"/>
      <c r="P20" s="26"/>
      <c r="Q20"/>
      <c r="R20"/>
      <c r="S20" s="206"/>
      <c r="T20" s="206"/>
      <c r="U20" s="206"/>
    </row>
    <row r="21" spans="1:21" ht="12.75" customHeight="1" x14ac:dyDescent="0.3">
      <c r="A21" s="27"/>
      <c r="B21" s="26"/>
      <c r="C21" s="26" t="s">
        <v>474</v>
      </c>
      <c r="F21" s="27"/>
      <c r="G21" s="27"/>
      <c r="H21" s="27"/>
      <c r="I21" s="27"/>
      <c r="J21" s="27"/>
      <c r="K21" s="27"/>
      <c r="L21" s="27"/>
      <c r="M21" s="125"/>
      <c r="N21" s="128"/>
      <c r="O21" s="119"/>
      <c r="P21" s="26"/>
      <c r="Q21"/>
      <c r="R21"/>
      <c r="S21" s="206"/>
      <c r="T21" s="206"/>
      <c r="U21" s="206"/>
    </row>
    <row r="22" spans="1:21" ht="12.75" customHeight="1" x14ac:dyDescent="0.3">
      <c r="A22" s="27"/>
      <c r="B22" s="3"/>
      <c r="C22" s="26" t="s">
        <v>455</v>
      </c>
      <c r="F22" s="27"/>
      <c r="G22" s="27"/>
      <c r="H22" s="27"/>
      <c r="I22" s="27"/>
      <c r="J22" s="27"/>
      <c r="K22" s="27"/>
      <c r="L22" s="27"/>
      <c r="M22" s="125"/>
      <c r="N22" s="128"/>
      <c r="O22" s="119"/>
      <c r="P22" s="26"/>
      <c r="Q22"/>
      <c r="R22"/>
      <c r="S22" s="206"/>
      <c r="T22" s="206"/>
      <c r="U22" s="206"/>
    </row>
    <row r="23" spans="1:21" ht="12.75" customHeight="1" x14ac:dyDescent="0.3">
      <c r="A23" s="27"/>
      <c r="B23" s="6"/>
      <c r="C23" s="27"/>
      <c r="F23" s="27"/>
      <c r="G23" s="27"/>
      <c r="H23" s="27"/>
      <c r="I23" s="27"/>
      <c r="J23" s="27"/>
      <c r="K23" s="27"/>
      <c r="L23" s="27"/>
      <c r="M23" s="125"/>
      <c r="N23" s="125"/>
      <c r="O23" s="125"/>
      <c r="P23" s="26"/>
      <c r="Q23"/>
      <c r="R23"/>
      <c r="S23" s="206"/>
      <c r="T23" s="206"/>
      <c r="U23" s="206"/>
    </row>
    <row r="24" spans="1:21" ht="12.75" customHeight="1" x14ac:dyDescent="0.3">
      <c r="A24" s="27" t="s">
        <v>43</v>
      </c>
      <c r="B24" s="28" t="s">
        <v>487</v>
      </c>
      <c r="C24" s="3"/>
      <c r="F24" s="27"/>
      <c r="G24" s="27"/>
      <c r="H24" s="27"/>
      <c r="I24" s="27"/>
      <c r="J24" s="27"/>
      <c r="K24" s="27"/>
      <c r="L24" s="27"/>
      <c r="M24" s="125"/>
      <c r="N24" s="125"/>
      <c r="O24" s="125"/>
      <c r="P24" s="26"/>
      <c r="Q24"/>
      <c r="R24"/>
      <c r="S24" s="206"/>
      <c r="T24" s="207"/>
      <c r="U24" s="207"/>
    </row>
    <row r="25" spans="1:21" ht="12.75" customHeight="1" x14ac:dyDescent="0.3">
      <c r="A25" s="27"/>
      <c r="C25" s="28" t="s">
        <v>218</v>
      </c>
      <c r="F25" s="27"/>
      <c r="G25" s="27"/>
      <c r="H25" s="27"/>
      <c r="I25" s="27"/>
      <c r="J25" s="27"/>
      <c r="K25" s="27"/>
      <c r="L25" s="27"/>
      <c r="M25" s="125"/>
      <c r="N25" s="125"/>
      <c r="O25" s="125"/>
      <c r="P25" s="26"/>
      <c r="Q25"/>
      <c r="R25"/>
      <c r="S25" s="206"/>
      <c r="T25" s="207"/>
      <c r="U25" s="207"/>
    </row>
    <row r="26" spans="1:21" ht="12.75" customHeight="1" x14ac:dyDescent="0.3">
      <c r="A26" s="27"/>
      <c r="C26" s="3" t="s">
        <v>488</v>
      </c>
      <c r="F26" s="27"/>
      <c r="G26" s="27"/>
      <c r="H26" s="27"/>
      <c r="I26" s="27"/>
      <c r="J26" s="27"/>
      <c r="K26" s="27"/>
      <c r="L26" s="27"/>
      <c r="M26" s="120"/>
      <c r="N26" s="128"/>
      <c r="O26" s="119"/>
      <c r="P26" s="26"/>
      <c r="Q26"/>
      <c r="R26"/>
      <c r="S26" s="206"/>
      <c r="T26" s="206"/>
      <c r="U26" s="206"/>
    </row>
    <row r="27" spans="1:21" ht="12.75" customHeight="1" x14ac:dyDescent="0.3">
      <c r="A27" s="27"/>
      <c r="C27" s="3" t="s">
        <v>253</v>
      </c>
      <c r="F27" s="27"/>
      <c r="G27" s="27"/>
      <c r="H27" s="27"/>
      <c r="I27" s="27"/>
      <c r="J27" s="27"/>
      <c r="K27" s="27"/>
      <c r="L27" s="27"/>
      <c r="M27" s="120"/>
      <c r="N27" s="125"/>
      <c r="O27" s="125"/>
      <c r="P27" s="26"/>
      <c r="Q27"/>
      <c r="R27"/>
      <c r="S27" s="206"/>
      <c r="T27" s="206"/>
      <c r="U27" s="206"/>
    </row>
    <row r="28" spans="1:21" ht="12.75" customHeight="1" x14ac:dyDescent="0.3">
      <c r="A28" s="27"/>
      <c r="C28" s="28" t="s">
        <v>219</v>
      </c>
      <c r="F28" s="27"/>
      <c r="G28" s="27"/>
      <c r="H28" s="27"/>
      <c r="I28" s="27"/>
      <c r="J28" s="27"/>
      <c r="K28" s="27"/>
      <c r="L28" s="27"/>
      <c r="M28" s="120"/>
      <c r="N28" s="125"/>
      <c r="O28" s="125"/>
      <c r="P28" s="26"/>
      <c r="Q28"/>
      <c r="R28"/>
      <c r="S28" s="206"/>
      <c r="T28" s="206"/>
      <c r="U28" s="206"/>
    </row>
    <row r="29" spans="1:21" ht="12.75" customHeight="1" x14ac:dyDescent="0.3">
      <c r="A29" s="27"/>
      <c r="C29" s="3" t="s">
        <v>220</v>
      </c>
      <c r="F29" s="27"/>
      <c r="G29" s="27"/>
      <c r="H29" s="27"/>
      <c r="I29" s="27"/>
      <c r="J29" s="27"/>
      <c r="K29" s="27"/>
      <c r="L29" s="27"/>
      <c r="M29" s="120"/>
      <c r="N29" s="128"/>
      <c r="O29" s="119"/>
      <c r="P29" s="26"/>
      <c r="Q29"/>
      <c r="R29"/>
      <c r="S29" s="206"/>
      <c r="T29" s="206"/>
      <c r="U29" s="206"/>
    </row>
    <row r="30" spans="1:21" ht="12.75" customHeight="1" x14ac:dyDescent="0.3">
      <c r="A30" s="27"/>
      <c r="C30" s="28" t="s">
        <v>221</v>
      </c>
      <c r="F30" s="27"/>
      <c r="G30" s="27"/>
      <c r="H30" s="27"/>
      <c r="I30" s="27"/>
      <c r="J30" s="27"/>
      <c r="K30" s="27"/>
      <c r="L30" s="27"/>
      <c r="M30" s="120"/>
      <c r="N30" s="128"/>
      <c r="O30" s="119"/>
      <c r="P30" s="26"/>
      <c r="Q30"/>
      <c r="R30"/>
      <c r="S30" s="206"/>
      <c r="T30" s="207"/>
      <c r="U30" s="207"/>
    </row>
    <row r="31" spans="1:21" ht="12.75" customHeight="1" x14ac:dyDescent="0.3">
      <c r="A31" s="27"/>
      <c r="C31" s="3" t="s">
        <v>222</v>
      </c>
      <c r="F31" s="27"/>
      <c r="G31" s="27"/>
      <c r="H31" s="27"/>
      <c r="I31" s="27"/>
      <c r="J31" s="27"/>
      <c r="K31" s="27"/>
      <c r="L31" s="27"/>
      <c r="M31" s="125"/>
      <c r="N31" s="128"/>
      <c r="O31" s="119"/>
      <c r="P31" s="26"/>
      <c r="Q31"/>
      <c r="R31"/>
      <c r="S31" s="206"/>
      <c r="T31" s="207"/>
      <c r="U31" s="207"/>
    </row>
    <row r="32" spans="1:21" ht="12.75" customHeight="1" x14ac:dyDescent="0.3">
      <c r="A32" s="27"/>
      <c r="C32" s="3"/>
      <c r="F32" s="27"/>
      <c r="G32" s="27"/>
      <c r="H32" s="27"/>
      <c r="I32" s="27"/>
      <c r="J32" s="27"/>
      <c r="K32" s="27"/>
      <c r="L32" s="27"/>
      <c r="M32" s="120"/>
      <c r="N32" s="128"/>
      <c r="O32" s="119"/>
      <c r="P32" s="26"/>
      <c r="Q32"/>
      <c r="R32"/>
      <c r="S32" s="206"/>
      <c r="T32" s="206"/>
      <c r="U32" s="206"/>
    </row>
    <row r="33" spans="1:21" ht="12.75" customHeight="1" x14ac:dyDescent="0.3">
      <c r="A33" s="27"/>
      <c r="B33" s="26"/>
      <c r="C33" s="26" t="s">
        <v>223</v>
      </c>
      <c r="F33" s="27"/>
      <c r="G33" s="27"/>
      <c r="H33" s="27"/>
      <c r="I33" s="27"/>
      <c r="J33" s="27"/>
      <c r="K33" s="27"/>
      <c r="L33" s="27"/>
      <c r="M33" s="120"/>
      <c r="N33" s="128"/>
      <c r="O33" s="119"/>
      <c r="P33" s="26"/>
      <c r="Q33"/>
      <c r="R33"/>
      <c r="S33" s="206"/>
      <c r="T33" s="206"/>
      <c r="U33" s="206"/>
    </row>
    <row r="34" spans="1:21" ht="12.75" customHeight="1" x14ac:dyDescent="0.3">
      <c r="A34" s="27"/>
      <c r="B34" s="26"/>
      <c r="C34" s="26" t="s">
        <v>489</v>
      </c>
      <c r="F34" s="27"/>
      <c r="G34" s="27"/>
      <c r="H34" s="27"/>
      <c r="I34" s="27"/>
      <c r="J34" s="27"/>
      <c r="K34" s="27"/>
      <c r="L34" s="27"/>
      <c r="M34" s="125"/>
      <c r="N34" s="128"/>
      <c r="O34" s="119"/>
      <c r="P34" s="26"/>
      <c r="Q34"/>
      <c r="R34"/>
      <c r="S34" s="206"/>
      <c r="T34" s="206"/>
      <c r="U34" s="206"/>
    </row>
    <row r="35" spans="1:21" ht="12.75" customHeight="1" x14ac:dyDescent="0.3">
      <c r="A35" s="27"/>
      <c r="B35" s="26"/>
      <c r="C35" s="6" t="s">
        <v>278</v>
      </c>
      <c r="D35" s="3" t="s">
        <v>287</v>
      </c>
      <c r="F35" s="27"/>
      <c r="G35" s="27"/>
      <c r="H35" s="27"/>
      <c r="I35" s="27"/>
      <c r="J35" s="27"/>
      <c r="K35" s="27"/>
      <c r="L35" s="27"/>
      <c r="M35" s="120"/>
      <c r="N35" s="128"/>
      <c r="O35" s="119"/>
      <c r="P35" s="26"/>
      <c r="Q35"/>
      <c r="R35"/>
      <c r="S35" s="206"/>
      <c r="T35" s="206"/>
      <c r="U35" s="206"/>
    </row>
    <row r="36" spans="1:21" ht="12.75" customHeight="1" x14ac:dyDescent="0.3">
      <c r="A36" s="27"/>
      <c r="B36" s="6"/>
      <c r="C36" s="27"/>
      <c r="F36" s="27"/>
      <c r="G36" s="27"/>
      <c r="H36" s="27"/>
      <c r="I36" s="27"/>
      <c r="J36" s="27"/>
      <c r="K36" s="27"/>
      <c r="L36" s="27"/>
      <c r="M36" s="122"/>
      <c r="N36" s="128"/>
      <c r="O36" s="119"/>
      <c r="P36" s="26"/>
      <c r="Q36" s="26"/>
      <c r="R36" s="26"/>
      <c r="S36" s="25"/>
    </row>
    <row r="37" spans="1:21" ht="12.75" customHeight="1" x14ac:dyDescent="0.3">
      <c r="A37" s="27" t="s">
        <v>44</v>
      </c>
      <c r="B37" s="28" t="s">
        <v>475</v>
      </c>
      <c r="C37" s="3"/>
      <c r="F37" s="27"/>
      <c r="G37" s="27"/>
      <c r="H37" s="27"/>
      <c r="I37" s="27"/>
      <c r="J37" s="27"/>
      <c r="K37" s="27"/>
      <c r="L37" s="27"/>
      <c r="M37" s="122"/>
      <c r="N37" s="128"/>
      <c r="O37" s="119"/>
      <c r="P37" s="26"/>
      <c r="Q37" s="26"/>
      <c r="R37" s="26"/>
      <c r="S37" s="25"/>
    </row>
    <row r="38" spans="1:21" ht="12.75" customHeight="1" x14ac:dyDescent="0.3">
      <c r="A38" s="27"/>
      <c r="B38" s="26"/>
      <c r="C38" s="26" t="s">
        <v>476</v>
      </c>
      <c r="F38" s="27"/>
      <c r="G38" s="27"/>
      <c r="H38" s="27"/>
      <c r="I38" s="27"/>
      <c r="J38" s="27"/>
      <c r="K38" s="27"/>
      <c r="L38" s="27"/>
      <c r="M38" s="122"/>
      <c r="N38" s="128"/>
      <c r="O38" s="119"/>
      <c r="P38" s="26"/>
      <c r="Q38" s="26"/>
      <c r="R38" s="26"/>
      <c r="S38" s="25"/>
    </row>
    <row r="39" spans="1:21" ht="12.75" customHeight="1" x14ac:dyDescent="0.3">
      <c r="A39" s="27"/>
      <c r="B39" s="38"/>
      <c r="C39" s="27" t="s">
        <v>17</v>
      </c>
      <c r="D39" s="26"/>
      <c r="E39" s="26" t="s">
        <v>477</v>
      </c>
      <c r="F39" s="27"/>
      <c r="G39" s="27"/>
      <c r="H39" s="27"/>
      <c r="I39" s="27"/>
      <c r="J39" s="27"/>
      <c r="K39" s="27"/>
      <c r="L39" s="27"/>
      <c r="M39" s="120"/>
      <c r="N39" s="128"/>
      <c r="O39" s="119"/>
      <c r="P39" s="26"/>
      <c r="Q39" s="26"/>
      <c r="R39" s="26"/>
      <c r="S39" s="25"/>
    </row>
    <row r="40" spans="1:21" ht="12.75" customHeight="1" x14ac:dyDescent="0.3">
      <c r="A40" s="27"/>
      <c r="B40" s="38"/>
      <c r="C40" s="3"/>
      <c r="F40" s="27"/>
      <c r="G40" s="27"/>
      <c r="H40" s="27"/>
      <c r="I40" s="27"/>
      <c r="J40" s="27"/>
      <c r="K40" s="27"/>
      <c r="L40" s="27"/>
      <c r="M40" s="120"/>
      <c r="N40" s="125"/>
      <c r="O40" s="120"/>
      <c r="P40" s="26"/>
      <c r="Q40" s="26"/>
      <c r="R40" s="26"/>
      <c r="S40" s="25"/>
    </row>
    <row r="41" spans="1:21" ht="12.75" customHeight="1" x14ac:dyDescent="0.3">
      <c r="A41" s="27" t="s">
        <v>45</v>
      </c>
      <c r="B41" s="27" t="s">
        <v>490</v>
      </c>
      <c r="C41" s="3"/>
      <c r="F41" s="27"/>
      <c r="G41" s="27"/>
      <c r="H41" s="27"/>
      <c r="I41" s="27"/>
      <c r="J41" s="27"/>
      <c r="K41" s="27"/>
      <c r="L41" s="27"/>
      <c r="M41" s="120"/>
      <c r="N41" s="194"/>
      <c r="O41" s="120"/>
      <c r="P41" s="26"/>
      <c r="Q41" s="26"/>
      <c r="R41" s="26"/>
      <c r="S41" s="25"/>
    </row>
    <row r="42" spans="1:21" ht="12.75" customHeight="1" x14ac:dyDescent="0.3">
      <c r="A42" s="27"/>
      <c r="B42" s="3"/>
      <c r="C42" s="26" t="s">
        <v>485</v>
      </c>
      <c r="F42" s="27"/>
      <c r="G42" s="27"/>
      <c r="H42" s="27"/>
      <c r="I42" s="27"/>
      <c r="J42" s="27"/>
      <c r="K42" s="27"/>
      <c r="L42" s="27"/>
      <c r="M42" s="120"/>
      <c r="N42" s="128"/>
      <c r="O42" s="119"/>
      <c r="P42" s="26"/>
      <c r="Q42" s="26"/>
      <c r="R42" s="26"/>
      <c r="S42" s="25"/>
    </row>
    <row r="43" spans="1:21" ht="12.75" customHeight="1" x14ac:dyDescent="0.3">
      <c r="A43" s="27"/>
      <c r="B43" s="3"/>
      <c r="C43" s="28" t="s">
        <v>486</v>
      </c>
      <c r="F43" s="27"/>
      <c r="G43" s="27"/>
      <c r="H43" s="27"/>
      <c r="I43" s="27"/>
      <c r="J43" s="27"/>
      <c r="K43" s="27"/>
      <c r="L43" s="27"/>
      <c r="M43" s="125"/>
      <c r="N43" s="125"/>
      <c r="O43" s="120"/>
      <c r="P43" s="26"/>
      <c r="Q43" s="26"/>
      <c r="R43" s="26"/>
      <c r="S43" s="25"/>
    </row>
    <row r="44" spans="1:21" ht="12.75" customHeight="1" x14ac:dyDescent="0.3">
      <c r="A44" s="27"/>
      <c r="B44" s="38"/>
      <c r="C44" s="26"/>
      <c r="F44" s="27"/>
      <c r="G44" s="27"/>
      <c r="H44" s="27"/>
      <c r="I44" s="27"/>
      <c r="J44" s="27"/>
      <c r="K44" s="27"/>
      <c r="L44" s="27"/>
      <c r="M44" s="119"/>
      <c r="N44" s="194"/>
      <c r="O44" s="120"/>
      <c r="P44" s="26"/>
      <c r="Q44" s="26"/>
      <c r="R44" s="26"/>
      <c r="S44" s="25"/>
    </row>
    <row r="45" spans="1:21" ht="12.75" customHeight="1" x14ac:dyDescent="0.3">
      <c r="A45" s="27" t="s">
        <v>46</v>
      </c>
      <c r="B45" s="27" t="s">
        <v>339</v>
      </c>
      <c r="C45" s="27"/>
      <c r="F45" s="27"/>
      <c r="G45" s="27"/>
      <c r="H45" s="27"/>
      <c r="I45" s="27"/>
      <c r="J45" s="27"/>
      <c r="K45" s="27"/>
      <c r="L45" s="27"/>
      <c r="M45" s="125"/>
      <c r="N45" s="194"/>
      <c r="O45" s="119"/>
      <c r="P45" s="26"/>
      <c r="Q45" s="26"/>
      <c r="R45" s="26"/>
      <c r="S45" s="25"/>
    </row>
    <row r="46" spans="1:21" ht="12.75" customHeight="1" x14ac:dyDescent="0.3">
      <c r="A46" s="3"/>
      <c r="B46" s="3"/>
      <c r="C46" s="3" t="s">
        <v>340</v>
      </c>
      <c r="F46" s="27"/>
      <c r="G46" s="27"/>
      <c r="H46" s="27"/>
      <c r="I46" s="27"/>
      <c r="J46" s="27"/>
      <c r="K46" s="27"/>
      <c r="L46" s="27"/>
      <c r="M46" s="125"/>
      <c r="N46" s="320"/>
      <c r="O46" s="119"/>
      <c r="P46" s="26"/>
      <c r="Q46" s="26"/>
      <c r="R46" s="26"/>
      <c r="S46" s="25"/>
    </row>
    <row r="47" spans="1:21" ht="12.75" customHeight="1" x14ac:dyDescent="0.3">
      <c r="A47" s="4"/>
      <c r="B47" s="3"/>
      <c r="C47" s="3" t="s">
        <v>463</v>
      </c>
      <c r="F47" s="27"/>
      <c r="G47" s="27"/>
      <c r="H47" s="27"/>
      <c r="I47" s="27"/>
      <c r="J47" s="27"/>
      <c r="K47" s="27"/>
      <c r="L47" s="27"/>
      <c r="M47" s="125"/>
      <c r="N47" s="320"/>
      <c r="O47" s="119"/>
      <c r="P47" s="26"/>
      <c r="Q47" s="26"/>
      <c r="R47" s="26"/>
      <c r="S47" s="25"/>
    </row>
    <row r="48" spans="1:21" ht="12.75" customHeight="1" x14ac:dyDescent="0.3">
      <c r="A48" s="105"/>
      <c r="B48" s="3"/>
      <c r="C48" s="3" t="s">
        <v>482</v>
      </c>
      <c r="F48" s="27"/>
      <c r="G48" s="27"/>
      <c r="H48" s="27"/>
      <c r="I48" s="27"/>
      <c r="J48" s="27"/>
      <c r="K48" s="27"/>
      <c r="L48" s="27"/>
      <c r="M48" s="125"/>
      <c r="N48" s="194"/>
      <c r="O48" s="119"/>
      <c r="P48" s="26"/>
      <c r="Q48" s="26"/>
      <c r="R48" s="26"/>
      <c r="S48" s="25"/>
    </row>
    <row r="49" spans="1:19" ht="12.75" customHeight="1" x14ac:dyDescent="0.3">
      <c r="A49" s="27"/>
      <c r="B49" s="26"/>
      <c r="C49" s="27"/>
      <c r="F49" s="27"/>
      <c r="G49" s="27"/>
      <c r="H49" s="27"/>
      <c r="I49" s="27"/>
      <c r="J49" s="27"/>
      <c r="K49" s="27"/>
      <c r="L49" s="27"/>
      <c r="M49" s="125"/>
      <c r="N49" s="194"/>
      <c r="O49" s="119"/>
      <c r="P49" s="26"/>
      <c r="Q49" s="26"/>
      <c r="R49" s="26"/>
      <c r="S49" s="25"/>
    </row>
    <row r="50" spans="1:19" ht="12.75" customHeight="1" x14ac:dyDescent="0.3">
      <c r="A50" s="121" t="s">
        <v>47</v>
      </c>
      <c r="B50" s="27" t="s">
        <v>224</v>
      </c>
      <c r="C50" s="27"/>
      <c r="F50" s="27"/>
      <c r="G50" s="27"/>
      <c r="H50" s="27"/>
      <c r="I50" s="27"/>
      <c r="J50" s="27"/>
      <c r="K50" s="27"/>
      <c r="L50" s="27"/>
      <c r="M50" s="125"/>
      <c r="N50" s="320"/>
      <c r="O50" s="119"/>
      <c r="P50" s="26"/>
      <c r="Q50" s="26"/>
      <c r="R50" s="26"/>
      <c r="S50" s="25"/>
    </row>
    <row r="51" spans="1:19" ht="12.75" customHeight="1" x14ac:dyDescent="0.3">
      <c r="A51" s="27"/>
      <c r="B51" s="26"/>
      <c r="C51" s="27" t="s">
        <v>225</v>
      </c>
      <c r="F51" s="26" t="s">
        <v>226</v>
      </c>
      <c r="G51" s="27"/>
      <c r="H51" s="27"/>
      <c r="I51" s="27"/>
      <c r="J51" s="27"/>
      <c r="K51" s="27"/>
      <c r="L51" s="27"/>
      <c r="M51" s="119"/>
      <c r="N51" s="128"/>
      <c r="O51" s="119"/>
      <c r="P51" s="26"/>
      <c r="Q51" s="26"/>
      <c r="R51" s="26"/>
      <c r="S51" s="25"/>
    </row>
    <row r="52" spans="1:19" ht="12.75" customHeight="1" x14ac:dyDescent="0.3">
      <c r="A52" s="27"/>
      <c r="B52" s="26"/>
      <c r="C52" s="27"/>
      <c r="F52" s="27"/>
      <c r="G52" s="27"/>
      <c r="H52" s="27"/>
      <c r="I52" s="27"/>
      <c r="J52" s="27"/>
      <c r="K52" s="27"/>
      <c r="L52" s="27"/>
      <c r="M52" s="119"/>
      <c r="N52" s="128"/>
      <c r="O52" s="119"/>
      <c r="P52" s="26"/>
      <c r="Q52" s="26"/>
      <c r="R52" s="26"/>
      <c r="S52" s="25"/>
    </row>
    <row r="53" spans="1:19" ht="12.75" customHeight="1" x14ac:dyDescent="0.3">
      <c r="A53" s="27" t="s">
        <v>48</v>
      </c>
      <c r="B53" s="27" t="s">
        <v>288</v>
      </c>
      <c r="C53" s="27"/>
      <c r="F53" s="27"/>
      <c r="G53" s="27"/>
      <c r="H53" s="27"/>
      <c r="I53" s="27"/>
      <c r="J53" s="27"/>
      <c r="K53" s="27"/>
      <c r="L53" s="27"/>
      <c r="M53" s="119"/>
      <c r="N53" s="128"/>
      <c r="O53" s="119"/>
      <c r="P53" s="26"/>
      <c r="Q53" s="26"/>
      <c r="R53" s="26"/>
      <c r="S53" s="25"/>
    </row>
    <row r="54" spans="1:19" ht="12.75" customHeight="1" x14ac:dyDescent="0.3">
      <c r="A54" s="27"/>
      <c r="B54" s="26"/>
      <c r="C54" s="27" t="s">
        <v>272</v>
      </c>
      <c r="F54" s="27"/>
      <c r="G54" s="27"/>
      <c r="H54" s="27"/>
      <c r="I54" s="27"/>
      <c r="J54" s="27"/>
      <c r="K54" s="27"/>
      <c r="L54" s="27"/>
      <c r="M54" s="119"/>
      <c r="N54" s="128"/>
      <c r="O54" s="119"/>
      <c r="P54" s="26"/>
      <c r="Q54" s="26"/>
      <c r="R54" s="26"/>
      <c r="S54" s="25"/>
    </row>
    <row r="55" spans="1:19" ht="12.75" customHeight="1" x14ac:dyDescent="0.3">
      <c r="A55" s="27"/>
      <c r="B55" s="26"/>
      <c r="C55" s="26" t="s">
        <v>227</v>
      </c>
      <c r="F55" s="27"/>
      <c r="G55" s="27"/>
      <c r="H55" s="27"/>
      <c r="I55" s="27"/>
      <c r="J55" s="27"/>
      <c r="K55" s="27"/>
      <c r="L55" s="27"/>
      <c r="M55" s="125"/>
      <c r="N55" s="128"/>
      <c r="O55" s="119"/>
      <c r="P55" s="26"/>
      <c r="Q55" s="26"/>
      <c r="R55" s="26"/>
      <c r="S55" s="25"/>
    </row>
    <row r="56" spans="1:19" ht="12.75" customHeight="1" x14ac:dyDescent="0.3">
      <c r="A56" s="27"/>
      <c r="B56" s="26"/>
      <c r="C56" s="27" t="s">
        <v>275</v>
      </c>
      <c r="F56" s="27"/>
      <c r="G56" s="27"/>
      <c r="H56" s="27"/>
      <c r="I56" s="27"/>
      <c r="J56" s="27"/>
      <c r="K56" s="27"/>
      <c r="L56" s="27"/>
      <c r="M56" s="125"/>
      <c r="N56" s="320"/>
      <c r="O56" s="119"/>
      <c r="P56" s="26"/>
      <c r="Q56" s="26"/>
      <c r="R56" s="26"/>
      <c r="S56" s="25"/>
    </row>
    <row r="57" spans="1:19" ht="12.75" customHeight="1" x14ac:dyDescent="0.3">
      <c r="A57" s="27"/>
      <c r="B57" s="26"/>
      <c r="C57" s="27"/>
      <c r="F57" s="27"/>
      <c r="G57" s="27"/>
      <c r="H57" s="27"/>
      <c r="I57" s="27"/>
      <c r="J57" s="27"/>
      <c r="K57" s="27"/>
      <c r="L57" s="27"/>
      <c r="M57" s="125"/>
      <c r="N57" s="209"/>
      <c r="O57" s="119"/>
      <c r="P57" s="26"/>
      <c r="Q57" s="26"/>
      <c r="R57" s="26"/>
      <c r="S57" s="25"/>
    </row>
    <row r="58" spans="1:19" ht="12.75" customHeight="1" x14ac:dyDescent="0.3">
      <c r="A58" s="27" t="s">
        <v>49</v>
      </c>
      <c r="B58" s="27" t="s">
        <v>483</v>
      </c>
      <c r="C58" s="27"/>
      <c r="F58" s="27"/>
      <c r="G58" s="27"/>
      <c r="H58" s="27"/>
      <c r="I58" s="27"/>
      <c r="J58" s="27"/>
      <c r="K58" s="27"/>
      <c r="L58" s="27"/>
      <c r="M58" s="125"/>
      <c r="N58" s="209"/>
      <c r="O58" s="119"/>
      <c r="P58" s="26"/>
      <c r="Q58" s="26"/>
      <c r="R58" s="26"/>
      <c r="S58" s="25"/>
    </row>
    <row r="59" spans="1:19" ht="12.75" customHeight="1" x14ac:dyDescent="0.3">
      <c r="A59" s="27"/>
      <c r="B59" s="26"/>
      <c r="C59" s="27" t="s">
        <v>271</v>
      </c>
      <c r="F59" s="27"/>
      <c r="G59" s="27"/>
      <c r="H59" s="27"/>
      <c r="I59" s="27"/>
      <c r="J59" s="27"/>
      <c r="K59" s="27"/>
      <c r="L59" s="27"/>
      <c r="M59" s="125"/>
      <c r="N59" s="132"/>
      <c r="O59" s="119"/>
      <c r="P59" s="26"/>
      <c r="Q59" s="26"/>
      <c r="R59" s="26"/>
      <c r="S59" s="25"/>
    </row>
    <row r="60" spans="1:19" ht="12.75" customHeight="1" x14ac:dyDescent="0.3">
      <c r="A60" s="27"/>
      <c r="B60" s="26"/>
      <c r="C60" s="26" t="s">
        <v>414</v>
      </c>
      <c r="F60" s="27"/>
      <c r="G60" s="27"/>
      <c r="H60" s="27"/>
      <c r="I60" s="27"/>
      <c r="J60" s="27"/>
      <c r="K60" s="27"/>
      <c r="L60" s="27"/>
      <c r="M60" s="125"/>
      <c r="N60" s="132"/>
      <c r="O60" s="119"/>
      <c r="P60" s="26"/>
      <c r="Q60" s="26"/>
      <c r="R60" s="26"/>
      <c r="S60" s="25"/>
    </row>
    <row r="61" spans="1:19" ht="12.75" customHeight="1" x14ac:dyDescent="0.3">
      <c r="A61" s="27"/>
      <c r="B61" s="26"/>
      <c r="C61" s="26" t="s">
        <v>413</v>
      </c>
      <c r="F61" s="27"/>
      <c r="G61" s="27"/>
      <c r="H61" s="27"/>
      <c r="I61" s="27"/>
      <c r="J61" s="27"/>
      <c r="K61" s="27"/>
      <c r="L61" s="27"/>
      <c r="M61" s="125"/>
      <c r="N61" s="132"/>
      <c r="O61" s="119"/>
      <c r="P61" s="26"/>
      <c r="Q61" s="26"/>
      <c r="R61" s="26"/>
      <c r="S61" s="25"/>
    </row>
    <row r="62" spans="1:19" ht="12.75" customHeight="1" x14ac:dyDescent="0.3">
      <c r="A62" s="27"/>
      <c r="B62" s="26"/>
      <c r="C62" s="26" t="s">
        <v>484</v>
      </c>
      <c r="F62" s="27"/>
      <c r="G62" s="27"/>
      <c r="H62" s="27"/>
      <c r="I62" s="27"/>
      <c r="J62" s="27"/>
      <c r="K62" s="27"/>
      <c r="L62" s="27"/>
      <c r="M62" s="125"/>
      <c r="N62" s="132"/>
      <c r="O62" s="119"/>
      <c r="P62" s="26"/>
      <c r="Q62" s="26"/>
      <c r="R62" s="26"/>
      <c r="S62" s="25"/>
    </row>
    <row r="63" spans="1:19" ht="12.75" customHeight="1" x14ac:dyDescent="0.3">
      <c r="A63" s="27"/>
      <c r="B63" s="26"/>
      <c r="C63" s="27"/>
      <c r="F63" s="27"/>
      <c r="G63" s="27"/>
      <c r="H63" s="27"/>
      <c r="I63" s="27"/>
      <c r="J63" s="27"/>
      <c r="K63" s="27"/>
      <c r="L63" s="27"/>
      <c r="M63" s="125"/>
      <c r="N63" s="132"/>
      <c r="O63" s="119"/>
      <c r="P63" s="26"/>
      <c r="Q63" s="26"/>
      <c r="R63" s="26"/>
      <c r="S63" s="25"/>
    </row>
    <row r="64" spans="1:19" ht="12.75" customHeight="1" x14ac:dyDescent="0.3">
      <c r="A64" s="27" t="s">
        <v>185</v>
      </c>
      <c r="B64" s="27" t="s">
        <v>289</v>
      </c>
      <c r="C64" s="26"/>
      <c r="F64" s="27"/>
      <c r="G64" s="27"/>
      <c r="H64" s="27"/>
      <c r="I64" s="27"/>
      <c r="J64" s="27"/>
      <c r="K64" s="27"/>
      <c r="L64" s="27"/>
      <c r="M64" s="119"/>
      <c r="N64" s="128"/>
      <c r="O64" s="119"/>
      <c r="P64" s="26"/>
      <c r="Q64" s="26"/>
      <c r="R64" s="26"/>
      <c r="S64" s="25"/>
    </row>
    <row r="65" spans="1:19" ht="12.75" customHeight="1" x14ac:dyDescent="0.3">
      <c r="A65" s="27"/>
      <c r="B65" s="26"/>
      <c r="C65" s="27" t="s">
        <v>1</v>
      </c>
      <c r="F65" s="27"/>
      <c r="G65" s="27"/>
      <c r="H65" s="27"/>
      <c r="I65" s="27"/>
      <c r="J65" s="27"/>
      <c r="K65" s="27"/>
      <c r="L65" s="27"/>
      <c r="M65" s="119"/>
      <c r="N65" s="128"/>
      <c r="O65" s="119"/>
      <c r="P65" s="26"/>
      <c r="Q65" s="26"/>
      <c r="R65" s="26"/>
      <c r="S65" s="25"/>
    </row>
    <row r="66" spans="1:19" ht="6" customHeight="1" x14ac:dyDescent="0.3">
      <c r="A66" s="23"/>
      <c r="B66" s="23"/>
      <c r="C66" s="23"/>
      <c r="D66" s="25"/>
      <c r="E66" s="25"/>
      <c r="F66" s="25"/>
      <c r="G66" s="25"/>
      <c r="H66" s="25"/>
      <c r="I66" s="25"/>
      <c r="J66" s="25"/>
      <c r="K66" s="25"/>
      <c r="L66" s="25"/>
      <c r="M66" s="119"/>
      <c r="N66" s="128"/>
      <c r="O66" s="119"/>
      <c r="P66" s="26"/>
      <c r="Q66" s="26"/>
      <c r="R66" s="26"/>
      <c r="S66" s="25"/>
    </row>
    <row r="67" spans="1:19" ht="12.75" customHeight="1" x14ac:dyDescent="0.3">
      <c r="A67" s="41"/>
      <c r="C67" s="27"/>
      <c r="D67" s="27"/>
      <c r="E67" s="27"/>
      <c r="F67" s="27"/>
      <c r="G67" s="27"/>
      <c r="H67" s="27"/>
      <c r="I67" s="27"/>
      <c r="J67" s="27"/>
      <c r="K67" s="27"/>
      <c r="L67" s="27"/>
      <c r="M67" s="119"/>
      <c r="N67" s="125"/>
      <c r="O67" s="125"/>
      <c r="P67" s="26"/>
      <c r="Q67" s="26"/>
      <c r="R67" s="26"/>
      <c r="S67" s="25"/>
    </row>
    <row r="68" spans="1:19" ht="12.75" customHeight="1" x14ac:dyDescent="0.3">
      <c r="A68" s="27" t="s">
        <v>186</v>
      </c>
      <c r="B68" s="28" t="s">
        <v>290</v>
      </c>
      <c r="C68" s="27"/>
      <c r="D68" s="27"/>
      <c r="E68" s="27"/>
      <c r="F68" s="27"/>
      <c r="G68" s="27"/>
      <c r="H68" s="27"/>
      <c r="I68" s="27"/>
      <c r="J68" s="27"/>
      <c r="K68" s="27"/>
      <c r="L68" s="27"/>
      <c r="M68" s="119"/>
      <c r="N68" s="128"/>
      <c r="O68" s="119"/>
      <c r="P68" s="26"/>
      <c r="Q68" s="26"/>
      <c r="R68" s="26"/>
      <c r="S68" s="25"/>
    </row>
    <row r="69" spans="1:19" ht="12.75" customHeight="1" x14ac:dyDescent="0.3">
      <c r="A69" s="27"/>
      <c r="B69" s="3"/>
      <c r="C69" s="27" t="s">
        <v>254</v>
      </c>
      <c r="D69" s="27"/>
      <c r="E69" s="27"/>
      <c r="F69" s="27"/>
      <c r="G69" s="27"/>
      <c r="H69" s="27"/>
      <c r="I69" s="27"/>
      <c r="J69" s="27"/>
      <c r="K69" s="27"/>
      <c r="L69" s="27"/>
      <c r="M69" s="119"/>
      <c r="N69" s="205"/>
      <c r="O69" s="119"/>
      <c r="P69" s="26"/>
      <c r="Q69" s="26"/>
      <c r="R69" s="26"/>
      <c r="S69" s="25"/>
    </row>
    <row r="70" spans="1:19" ht="12.75" customHeight="1" x14ac:dyDescent="0.3">
      <c r="A70" s="27"/>
      <c r="B70" s="3"/>
      <c r="C70" s="26" t="s">
        <v>255</v>
      </c>
      <c r="D70" s="27"/>
      <c r="E70" s="27"/>
      <c r="F70" s="27"/>
      <c r="G70" s="27"/>
      <c r="H70" s="27"/>
      <c r="I70" s="27"/>
      <c r="J70" s="27"/>
      <c r="K70" s="27"/>
      <c r="L70" s="27"/>
      <c r="M70" s="119"/>
      <c r="N70" s="128"/>
      <c r="O70" s="119"/>
      <c r="P70" s="26"/>
      <c r="Q70" s="26"/>
      <c r="R70" s="26"/>
      <c r="S70" s="25"/>
    </row>
    <row r="71" spans="1:19" ht="12.75" customHeight="1" x14ac:dyDescent="0.3">
      <c r="A71" s="27"/>
      <c r="B71" s="3"/>
      <c r="C71" s="26" t="s">
        <v>256</v>
      </c>
      <c r="D71" s="27"/>
      <c r="E71" s="27"/>
      <c r="F71" s="27"/>
      <c r="G71" s="27"/>
      <c r="H71" s="27"/>
      <c r="I71" s="27"/>
      <c r="J71" s="27"/>
      <c r="K71" s="27"/>
      <c r="L71" s="27"/>
      <c r="M71" s="119"/>
      <c r="N71" s="128"/>
      <c r="O71" s="119"/>
      <c r="P71" s="26"/>
      <c r="Q71" s="26"/>
      <c r="R71" s="26"/>
      <c r="S71" s="25"/>
    </row>
    <row r="72" spans="1:19" ht="12.75" customHeight="1" x14ac:dyDescent="0.3">
      <c r="A72" s="27"/>
      <c r="B72" s="3"/>
      <c r="C72" s="26" t="s">
        <v>257</v>
      </c>
      <c r="D72" s="27"/>
      <c r="E72" s="27"/>
      <c r="F72" s="27"/>
      <c r="G72" s="27"/>
      <c r="H72" s="27"/>
      <c r="I72" s="27"/>
      <c r="J72" s="27"/>
      <c r="K72" s="27"/>
      <c r="L72" s="27"/>
      <c r="M72" s="119"/>
      <c r="N72" s="128"/>
      <c r="O72" s="119"/>
      <c r="P72" s="26"/>
      <c r="Q72" s="26"/>
      <c r="R72" s="26"/>
      <c r="S72" s="25"/>
    </row>
    <row r="73" spans="1:19" ht="12.75" customHeight="1" x14ac:dyDescent="0.3">
      <c r="A73" s="27"/>
      <c r="B73" s="3"/>
      <c r="C73" s="27"/>
      <c r="D73" s="27"/>
      <c r="E73" s="27"/>
      <c r="F73" s="27"/>
      <c r="G73" s="27"/>
      <c r="H73" s="27"/>
      <c r="I73" s="27"/>
      <c r="J73" s="27"/>
      <c r="K73" s="27"/>
      <c r="L73" s="27"/>
      <c r="M73" s="119"/>
      <c r="N73" s="205"/>
      <c r="O73" s="119"/>
      <c r="P73" s="26"/>
      <c r="Q73" s="26"/>
      <c r="R73" s="26"/>
      <c r="S73" s="25"/>
    </row>
    <row r="74" spans="1:19" ht="12.75" customHeight="1" x14ac:dyDescent="0.3">
      <c r="A74" s="27" t="s">
        <v>258</v>
      </c>
      <c r="B74" s="27" t="s">
        <v>291</v>
      </c>
      <c r="C74" s="27"/>
      <c r="D74" s="27"/>
      <c r="E74" s="27"/>
      <c r="F74" s="27"/>
      <c r="G74" s="27"/>
      <c r="H74" s="27"/>
      <c r="I74" s="27"/>
      <c r="J74" s="27"/>
      <c r="K74" s="27"/>
      <c r="L74" s="27"/>
      <c r="M74" s="119"/>
      <c r="N74" s="128"/>
      <c r="O74" s="119"/>
      <c r="P74" s="26"/>
      <c r="Q74" s="26"/>
      <c r="R74" s="26"/>
      <c r="S74" s="25"/>
    </row>
    <row r="75" spans="1:19" ht="12.75" customHeight="1" x14ac:dyDescent="0.3">
      <c r="A75" s="27"/>
      <c r="B75" s="27"/>
      <c r="C75" s="27" t="s">
        <v>261</v>
      </c>
      <c r="D75" s="27"/>
      <c r="E75" s="27"/>
      <c r="F75" s="27"/>
      <c r="G75" s="27"/>
      <c r="H75" s="27"/>
      <c r="I75" s="27"/>
      <c r="J75" s="27"/>
      <c r="K75" s="27"/>
      <c r="L75" s="27"/>
      <c r="M75" s="119"/>
      <c r="N75" s="128"/>
      <c r="O75" s="119"/>
      <c r="P75" s="26"/>
      <c r="Q75" s="26"/>
      <c r="R75" s="26"/>
      <c r="S75" s="25"/>
    </row>
    <row r="76" spans="1:19" ht="12.75" customHeight="1" x14ac:dyDescent="0.3">
      <c r="A76" s="27"/>
      <c r="B76" s="27"/>
      <c r="C76" s="26" t="s">
        <v>302</v>
      </c>
      <c r="D76" s="27"/>
      <c r="E76" s="27"/>
      <c r="F76" s="27"/>
      <c r="G76" s="27"/>
      <c r="H76" s="27"/>
      <c r="I76" s="27"/>
      <c r="J76" s="27"/>
      <c r="K76" s="27"/>
      <c r="L76" s="27"/>
      <c r="M76" s="119"/>
      <c r="N76" s="205"/>
      <c r="O76" s="119"/>
      <c r="P76" s="26"/>
      <c r="Q76" s="26"/>
      <c r="R76" s="26"/>
      <c r="S76" s="25"/>
    </row>
    <row r="77" spans="1:19" ht="12.75" customHeight="1" x14ac:dyDescent="0.3">
      <c r="A77" s="27"/>
      <c r="B77" s="27"/>
      <c r="C77" s="26"/>
      <c r="D77" s="27"/>
      <c r="E77" s="27"/>
      <c r="F77" s="27"/>
      <c r="G77" s="27"/>
      <c r="H77" s="27"/>
      <c r="I77" s="27"/>
      <c r="J77" s="27"/>
      <c r="K77" s="27"/>
      <c r="L77" s="27"/>
      <c r="M77" s="119"/>
      <c r="N77" s="125"/>
      <c r="O77" s="119"/>
      <c r="P77" s="26"/>
      <c r="Q77" s="26"/>
      <c r="R77" s="26"/>
      <c r="S77" s="25"/>
    </row>
    <row r="78" spans="1:19" ht="12.75" customHeight="1" x14ac:dyDescent="0.3">
      <c r="A78" s="27"/>
      <c r="B78" s="26" t="s">
        <v>311</v>
      </c>
      <c r="C78" s="27"/>
      <c r="D78" s="27"/>
      <c r="E78" s="27"/>
      <c r="F78" s="27"/>
      <c r="G78" s="27"/>
      <c r="H78" s="27"/>
      <c r="I78" s="27"/>
      <c r="J78" s="27"/>
      <c r="K78" s="27"/>
      <c r="L78" s="27"/>
      <c r="M78" s="119"/>
      <c r="N78" s="128"/>
      <c r="O78" s="119"/>
      <c r="P78" s="26"/>
      <c r="Q78" s="26"/>
      <c r="R78" s="26"/>
      <c r="S78" s="25"/>
    </row>
    <row r="79" spans="1:19" ht="12.75" customHeight="1" x14ac:dyDescent="0.3">
      <c r="A79" s="27"/>
      <c r="B79" s="26"/>
      <c r="C79" s="27" t="s">
        <v>262</v>
      </c>
      <c r="D79" s="27"/>
      <c r="E79" s="27"/>
      <c r="F79" s="27"/>
      <c r="G79" s="27"/>
      <c r="H79" s="27"/>
      <c r="I79" s="27"/>
      <c r="J79" s="27"/>
      <c r="K79" s="27"/>
      <c r="L79" s="27"/>
      <c r="M79" s="119"/>
      <c r="N79" s="205"/>
      <c r="O79" s="119"/>
      <c r="P79" s="26"/>
      <c r="Q79" s="26"/>
      <c r="R79" s="26"/>
      <c r="S79" s="25"/>
    </row>
    <row r="80" spans="1:19" ht="12.75" customHeight="1" x14ac:dyDescent="0.3">
      <c r="A80" s="27"/>
      <c r="B80" s="27"/>
      <c r="C80" s="27"/>
      <c r="D80" s="27"/>
      <c r="E80" s="27"/>
      <c r="F80" s="27"/>
      <c r="G80" s="27"/>
      <c r="H80" s="27"/>
      <c r="I80" s="27"/>
      <c r="J80" s="27"/>
      <c r="K80" s="27"/>
      <c r="L80" s="27"/>
      <c r="M80" s="119"/>
      <c r="N80" s="128"/>
      <c r="O80" s="119"/>
      <c r="P80" s="26"/>
      <c r="Q80" s="26"/>
      <c r="R80" s="26"/>
      <c r="S80" s="25"/>
    </row>
    <row r="81" spans="1:19" ht="12.75" customHeight="1" x14ac:dyDescent="0.3">
      <c r="A81" s="27" t="s">
        <v>259</v>
      </c>
      <c r="B81" s="27" t="s">
        <v>312</v>
      </c>
      <c r="C81" s="27"/>
      <c r="D81" s="27"/>
      <c r="E81" s="27"/>
      <c r="F81" s="27"/>
      <c r="G81" s="27"/>
      <c r="H81" s="27"/>
      <c r="I81" s="27"/>
      <c r="J81" s="27"/>
      <c r="K81" s="27"/>
      <c r="L81" s="27"/>
      <c r="M81" s="119"/>
      <c r="N81" s="205"/>
      <c r="O81" s="119"/>
      <c r="P81" s="26"/>
      <c r="Q81" s="26"/>
      <c r="R81" s="26"/>
      <c r="S81" s="25"/>
    </row>
    <row r="82" spans="1:19" ht="12.75" customHeight="1" x14ac:dyDescent="0.3">
      <c r="A82" s="27"/>
      <c r="B82" s="27"/>
      <c r="C82" s="27" t="s">
        <v>263</v>
      </c>
      <c r="D82" s="27"/>
      <c r="E82" s="27"/>
      <c r="F82" s="27"/>
      <c r="G82" s="27"/>
      <c r="H82" s="27"/>
      <c r="I82" s="27"/>
      <c r="J82" s="27"/>
      <c r="K82" s="27"/>
      <c r="L82" s="27"/>
      <c r="M82" s="119"/>
      <c r="N82" s="128"/>
      <c r="O82" s="119"/>
      <c r="P82" s="26"/>
      <c r="Q82" s="26"/>
      <c r="R82" s="26"/>
      <c r="S82" s="25"/>
    </row>
    <row r="83" spans="1:19" ht="12.75" customHeight="1" x14ac:dyDescent="0.3">
      <c r="A83" s="27"/>
      <c r="B83" s="27"/>
      <c r="C83" s="27"/>
      <c r="D83" s="27"/>
      <c r="E83" s="27"/>
      <c r="F83" s="27"/>
      <c r="G83" s="27"/>
      <c r="H83" s="27"/>
      <c r="I83" s="27"/>
      <c r="J83" s="27"/>
      <c r="K83" s="27"/>
      <c r="L83" s="27"/>
      <c r="M83" s="119"/>
      <c r="N83" s="205"/>
      <c r="O83" s="119"/>
      <c r="P83" s="26"/>
      <c r="Q83" s="26"/>
      <c r="R83" s="26"/>
      <c r="S83" s="25"/>
    </row>
    <row r="84" spans="1:19" ht="12.75" customHeight="1" x14ac:dyDescent="0.3">
      <c r="A84" s="23"/>
      <c r="B84" s="23"/>
      <c r="C84" s="23"/>
      <c r="D84" s="26"/>
      <c r="E84" s="26"/>
      <c r="F84" s="26"/>
      <c r="G84" s="26"/>
      <c r="H84" s="26"/>
      <c r="I84" s="27"/>
      <c r="J84" s="27"/>
      <c r="K84" s="27"/>
      <c r="L84" s="27"/>
      <c r="M84" s="119"/>
      <c r="N84" s="132"/>
      <c r="O84" s="119"/>
      <c r="P84" s="26"/>
      <c r="Q84" s="26"/>
      <c r="R84" s="26"/>
      <c r="S84" s="25"/>
    </row>
    <row r="85" spans="1:19" ht="12.75" customHeight="1" x14ac:dyDescent="0.3">
      <c r="A85" s="27" t="s">
        <v>260</v>
      </c>
      <c r="B85" s="27" t="s">
        <v>292</v>
      </c>
      <c r="C85" s="23"/>
      <c r="D85" s="26"/>
      <c r="E85" s="26"/>
      <c r="F85" s="26"/>
      <c r="G85" s="26"/>
      <c r="H85" s="26"/>
      <c r="I85" s="27"/>
      <c r="J85" s="27"/>
      <c r="K85" s="27"/>
      <c r="L85" s="27"/>
      <c r="M85" s="119"/>
      <c r="N85" s="209"/>
      <c r="O85" s="119"/>
      <c r="P85" s="26"/>
      <c r="Q85" s="26"/>
      <c r="R85" s="26"/>
      <c r="S85" s="25"/>
    </row>
    <row r="86" spans="1:19" ht="12.75" customHeight="1" x14ac:dyDescent="0.3">
      <c r="A86" s="23"/>
      <c r="B86" s="23"/>
      <c r="C86" s="23" t="s">
        <v>264</v>
      </c>
      <c r="D86" s="26"/>
      <c r="E86" s="26"/>
      <c r="F86" s="26"/>
      <c r="G86" s="26"/>
      <c r="H86" s="26"/>
      <c r="I86" s="27"/>
      <c r="J86" s="27"/>
      <c r="K86" s="27"/>
      <c r="L86" s="27"/>
      <c r="M86" s="125"/>
      <c r="N86" s="132"/>
      <c r="O86" s="119"/>
      <c r="P86" s="26"/>
      <c r="Q86" s="26"/>
      <c r="R86" s="26"/>
      <c r="S86" s="25"/>
    </row>
    <row r="87" spans="1:19" ht="12.75" customHeight="1" x14ac:dyDescent="0.3">
      <c r="A87" s="23"/>
      <c r="B87" s="23"/>
      <c r="C87" s="26" t="s">
        <v>0</v>
      </c>
      <c r="D87" s="26"/>
      <c r="E87" s="26"/>
      <c r="F87" s="26"/>
      <c r="G87" s="26"/>
      <c r="H87" s="26"/>
      <c r="I87" s="27"/>
      <c r="J87" s="27"/>
      <c r="K87" s="27"/>
      <c r="L87" s="27"/>
      <c r="M87" s="119"/>
      <c r="N87" s="209"/>
      <c r="O87" s="119"/>
      <c r="P87" s="26"/>
      <c r="Q87" s="26"/>
      <c r="R87" s="26"/>
      <c r="S87" s="25"/>
    </row>
    <row r="88" spans="1:19" ht="12.75" customHeight="1" x14ac:dyDescent="0.3">
      <c r="A88" s="23"/>
      <c r="B88" s="23"/>
      <c r="C88" s="25" t="s">
        <v>265</v>
      </c>
      <c r="D88" s="26"/>
      <c r="E88" s="26"/>
      <c r="F88" s="26"/>
      <c r="G88" s="26"/>
      <c r="H88" s="26"/>
      <c r="I88" s="27"/>
      <c r="J88" s="27"/>
      <c r="K88" s="27"/>
      <c r="L88" s="27"/>
      <c r="M88" s="119"/>
      <c r="N88" s="119"/>
      <c r="O88" s="119"/>
      <c r="P88" s="26"/>
      <c r="Q88" s="26"/>
      <c r="R88" s="26"/>
      <c r="S88" s="25"/>
    </row>
    <row r="89" spans="1:19" ht="12.75" customHeight="1" x14ac:dyDescent="0.3">
      <c r="A89" s="41"/>
      <c r="C89" s="302"/>
      <c r="D89" s="303"/>
      <c r="E89" s="303"/>
      <c r="F89" s="303"/>
      <c r="G89" s="304" t="s">
        <v>269</v>
      </c>
      <c r="H89" s="27"/>
      <c r="I89" s="27"/>
      <c r="J89" s="27"/>
      <c r="K89" s="27"/>
      <c r="L89" s="27"/>
      <c r="M89" s="119"/>
      <c r="N89" s="119"/>
      <c r="O89" s="119"/>
      <c r="P89" s="26"/>
      <c r="Q89" s="26"/>
      <c r="R89" s="26"/>
      <c r="S89" s="25"/>
    </row>
    <row r="90" spans="1:19" ht="12.75" customHeight="1" x14ac:dyDescent="0.3">
      <c r="A90" s="41"/>
      <c r="C90" s="305" t="s">
        <v>266</v>
      </c>
      <c r="D90" s="306"/>
      <c r="E90" s="306"/>
      <c r="F90" s="306"/>
      <c r="G90" s="307">
        <v>4.9000000000000004</v>
      </c>
      <c r="H90" s="27"/>
      <c r="I90" s="27"/>
      <c r="J90" s="27"/>
      <c r="K90" s="27"/>
      <c r="L90" s="27"/>
      <c r="M90" s="119"/>
      <c r="N90" s="119"/>
      <c r="O90" s="119"/>
      <c r="P90" s="26"/>
      <c r="Q90" s="26"/>
      <c r="R90" s="26"/>
      <c r="S90" s="25"/>
    </row>
    <row r="91" spans="1:19" ht="12.75" customHeight="1" x14ac:dyDescent="0.3">
      <c r="A91" s="41"/>
      <c r="C91" s="305" t="s">
        <v>248</v>
      </c>
      <c r="D91" s="306"/>
      <c r="E91" s="306"/>
      <c r="F91" s="306"/>
      <c r="G91" s="308"/>
      <c r="H91" s="27"/>
      <c r="I91" s="27"/>
      <c r="J91" s="27"/>
      <c r="K91" s="27"/>
      <c r="L91" s="27"/>
      <c r="M91" s="119"/>
      <c r="N91" s="119"/>
      <c r="O91" s="119"/>
      <c r="P91" s="26"/>
      <c r="Q91" s="26"/>
      <c r="R91" s="26"/>
      <c r="S91" s="25"/>
    </row>
    <row r="92" spans="1:19" ht="12.75" customHeight="1" x14ac:dyDescent="0.3">
      <c r="A92" s="41"/>
      <c r="C92" s="305" t="s">
        <v>267</v>
      </c>
      <c r="D92" s="306"/>
      <c r="E92" s="306"/>
      <c r="F92" s="306"/>
      <c r="G92" s="308">
        <v>1.2</v>
      </c>
      <c r="H92" s="27"/>
      <c r="I92" s="27"/>
      <c r="J92" s="27"/>
      <c r="K92" s="27"/>
      <c r="L92" s="27"/>
      <c r="M92" s="119"/>
      <c r="N92" s="119"/>
      <c r="O92" s="119"/>
      <c r="P92" s="26"/>
      <c r="Q92" s="26"/>
      <c r="R92" s="26"/>
      <c r="S92" s="25"/>
    </row>
    <row r="93" spans="1:19" ht="12.75" customHeight="1" x14ac:dyDescent="0.3">
      <c r="A93" s="41"/>
      <c r="C93" s="305" t="s">
        <v>268</v>
      </c>
      <c r="D93" s="306"/>
      <c r="E93" s="306"/>
      <c r="F93" s="306"/>
      <c r="G93" s="308">
        <v>0</v>
      </c>
      <c r="H93" s="27"/>
      <c r="I93" s="27"/>
      <c r="J93" s="27"/>
      <c r="K93" s="27"/>
      <c r="L93" s="27"/>
      <c r="M93" s="119"/>
      <c r="N93" s="119"/>
      <c r="O93" s="119"/>
      <c r="P93" s="26"/>
      <c r="Q93" s="26"/>
      <c r="R93" s="26"/>
      <c r="S93" s="25"/>
    </row>
    <row r="94" spans="1:19" ht="12.75" customHeight="1" x14ac:dyDescent="0.3">
      <c r="A94" s="41"/>
      <c r="C94" s="309"/>
      <c r="D94" s="310"/>
      <c r="E94" s="310"/>
      <c r="F94" s="310"/>
      <c r="G94" s="311"/>
      <c r="H94" s="27"/>
      <c r="I94" s="27"/>
      <c r="J94" s="27"/>
      <c r="K94" s="27"/>
      <c r="L94" s="27"/>
      <c r="M94" s="119"/>
      <c r="N94" s="119"/>
      <c r="O94" s="119"/>
      <c r="P94" s="26"/>
      <c r="Q94" s="26"/>
      <c r="R94" s="26"/>
      <c r="S94" s="25"/>
    </row>
    <row r="95" spans="1:19" ht="12.75" customHeight="1" x14ac:dyDescent="0.3">
      <c r="A95" s="41"/>
      <c r="C95" s="27"/>
      <c r="D95" s="27"/>
      <c r="E95" s="27"/>
      <c r="F95" s="27"/>
      <c r="G95" s="27"/>
      <c r="H95" s="27"/>
      <c r="I95" s="27"/>
      <c r="J95" s="27"/>
      <c r="K95" s="27"/>
      <c r="L95" s="27"/>
      <c r="M95" s="119"/>
      <c r="N95" s="119"/>
      <c r="O95" s="119"/>
      <c r="P95" s="26"/>
      <c r="Q95" s="26"/>
      <c r="R95" s="26"/>
      <c r="S95" s="25"/>
    </row>
    <row r="96" spans="1:19" ht="12.75" customHeight="1" x14ac:dyDescent="0.3">
      <c r="A96" s="41"/>
      <c r="C96" s="27"/>
      <c r="D96" s="27"/>
      <c r="E96" s="27"/>
      <c r="F96" s="27"/>
      <c r="G96" s="27"/>
      <c r="H96" s="27"/>
      <c r="I96" s="27"/>
      <c r="J96" s="27"/>
      <c r="K96" s="27"/>
      <c r="L96" s="27"/>
      <c r="M96" s="119"/>
      <c r="N96" s="119"/>
      <c r="O96" s="119"/>
      <c r="P96" s="26"/>
      <c r="Q96" s="26"/>
      <c r="R96" s="26"/>
      <c r="S96" s="25"/>
    </row>
    <row r="97" spans="1:19" ht="12.75" customHeight="1" x14ac:dyDescent="0.3">
      <c r="B97" s="25" t="s">
        <v>179</v>
      </c>
      <c r="M97" s="119"/>
      <c r="N97" s="119"/>
      <c r="O97" s="119"/>
      <c r="P97" s="26"/>
      <c r="Q97" s="26"/>
      <c r="R97" s="26"/>
      <c r="S97" s="25"/>
    </row>
    <row r="98" spans="1:19" ht="12.75" customHeight="1" x14ac:dyDescent="0.3">
      <c r="B98" s="3" t="s">
        <v>13</v>
      </c>
      <c r="M98" s="323"/>
      <c r="N98" s="323"/>
      <c r="O98" s="323"/>
      <c r="P98" s="25"/>
      <c r="Q98" s="25"/>
      <c r="R98" s="25"/>
      <c r="S98" s="25"/>
    </row>
    <row r="99" spans="1:19" ht="12.75" customHeight="1" x14ac:dyDescent="0.3">
      <c r="B99" s="3"/>
      <c r="M99" s="323"/>
      <c r="N99" s="323"/>
      <c r="O99" s="323"/>
      <c r="P99" s="25"/>
      <c r="Q99" s="25"/>
      <c r="R99" s="25"/>
      <c r="S99" s="25"/>
    </row>
    <row r="100" spans="1:19" ht="12.75" customHeight="1" x14ac:dyDescent="0.3">
      <c r="A100" s="320"/>
      <c r="B100" s="705" t="s">
        <v>161</v>
      </c>
      <c r="C100" s="706"/>
      <c r="D100" s="707"/>
      <c r="E100" s="106" t="s">
        <v>168</v>
      </c>
      <c r="F100" s="76"/>
      <c r="G100" s="75"/>
      <c r="H100" s="77"/>
      <c r="I100" s="107"/>
      <c r="J100" s="107"/>
      <c r="K100" s="76"/>
      <c r="L100" s="76" t="s">
        <v>333</v>
      </c>
      <c r="M100" s="78"/>
      <c r="N100" s="125"/>
      <c r="O100" s="125"/>
    </row>
    <row r="101" spans="1:19" ht="12.75" customHeight="1" x14ac:dyDescent="0.3">
      <c r="A101" s="320"/>
      <c r="B101" s="79" t="s">
        <v>158</v>
      </c>
      <c r="C101" s="108"/>
      <c r="D101" s="73"/>
      <c r="E101" s="80" t="s">
        <v>331</v>
      </c>
      <c r="F101" s="5"/>
      <c r="G101" s="5"/>
      <c r="H101" s="108"/>
      <c r="I101" s="108"/>
      <c r="J101" s="316"/>
      <c r="K101" s="60"/>
      <c r="L101" s="60">
        <v>0</v>
      </c>
      <c r="M101" s="66">
        <v>0</v>
      </c>
      <c r="N101" s="125"/>
      <c r="O101" s="125"/>
    </row>
    <row r="102" spans="1:19" ht="12.75" customHeight="1" x14ac:dyDescent="0.3">
      <c r="A102" s="322"/>
      <c r="B102" s="79"/>
      <c r="C102" s="108"/>
      <c r="D102" s="73"/>
      <c r="E102" s="80" t="s">
        <v>332</v>
      </c>
      <c r="F102" s="5"/>
      <c r="G102" s="5"/>
      <c r="H102" s="108"/>
      <c r="I102" s="108"/>
      <c r="J102" s="316"/>
      <c r="K102" s="60"/>
      <c r="L102" s="60"/>
      <c r="M102" s="66"/>
      <c r="N102" s="125"/>
      <c r="O102" s="125"/>
    </row>
    <row r="103" spans="1:19" ht="12.75" customHeight="1" x14ac:dyDescent="0.3">
      <c r="A103" s="321"/>
      <c r="B103" s="79"/>
      <c r="C103" s="108"/>
      <c r="D103" s="73"/>
      <c r="E103" s="319" t="s">
        <v>338</v>
      </c>
      <c r="F103" s="5"/>
      <c r="G103" s="5"/>
      <c r="H103" s="108"/>
      <c r="I103" s="108"/>
      <c r="J103" s="316"/>
      <c r="K103" s="60"/>
      <c r="L103" s="60"/>
      <c r="M103" s="66"/>
      <c r="N103" s="125"/>
      <c r="O103" s="125"/>
      <c r="Q103"/>
    </row>
    <row r="104" spans="1:19" ht="12.75" customHeight="1" x14ac:dyDescent="0.3">
      <c r="A104" s="321"/>
      <c r="B104" s="79"/>
      <c r="C104" s="108"/>
      <c r="D104" s="73"/>
      <c r="E104" s="319" t="s">
        <v>334</v>
      </c>
      <c r="F104" s="5"/>
      <c r="G104" s="5"/>
      <c r="H104" s="108"/>
      <c r="I104" s="108"/>
      <c r="J104" s="316"/>
      <c r="K104" s="60"/>
      <c r="L104" s="60"/>
      <c r="M104" s="66"/>
      <c r="N104" s="125"/>
      <c r="O104" s="125"/>
      <c r="Q104"/>
    </row>
    <row r="105" spans="1:19" ht="12.75" customHeight="1" x14ac:dyDescent="0.3">
      <c r="A105" s="321"/>
      <c r="B105" s="79"/>
      <c r="C105" s="108"/>
      <c r="D105" s="73"/>
      <c r="E105" s="80" t="s">
        <v>326</v>
      </c>
      <c r="F105" s="5"/>
      <c r="G105" s="5"/>
      <c r="H105" s="108"/>
      <c r="I105" s="108"/>
      <c r="J105" s="316"/>
      <c r="K105" s="60"/>
      <c r="L105" s="60"/>
      <c r="M105" s="66"/>
      <c r="N105" s="125"/>
      <c r="O105" s="125"/>
      <c r="Q105"/>
    </row>
    <row r="106" spans="1:19" ht="12.75" customHeight="1" x14ac:dyDescent="0.3">
      <c r="A106" s="321"/>
      <c r="B106" s="79"/>
      <c r="C106" s="108"/>
      <c r="D106" s="73"/>
      <c r="E106" s="80" t="s">
        <v>327</v>
      </c>
      <c r="F106" s="5"/>
      <c r="G106" s="5"/>
      <c r="H106" s="108"/>
      <c r="I106" s="108"/>
      <c r="J106" s="316"/>
      <c r="K106" s="60"/>
      <c r="L106" s="60"/>
      <c r="M106" s="66"/>
      <c r="N106" s="125"/>
      <c r="O106" s="125"/>
      <c r="Q106"/>
    </row>
    <row r="107" spans="1:19" ht="12.75" customHeight="1" x14ac:dyDescent="0.3">
      <c r="A107" s="321"/>
      <c r="B107" s="79"/>
      <c r="C107" s="108"/>
      <c r="D107" s="73"/>
      <c r="E107" s="319" t="s">
        <v>335</v>
      </c>
      <c r="F107" s="5"/>
      <c r="G107" s="5"/>
      <c r="H107" s="108"/>
      <c r="I107" s="108"/>
      <c r="J107" s="316"/>
      <c r="K107" s="60"/>
      <c r="L107" s="60"/>
      <c r="M107" s="66"/>
      <c r="N107" s="125"/>
      <c r="O107" s="125"/>
      <c r="Q107"/>
    </row>
    <row r="108" spans="1:19" ht="12.75" customHeight="1" x14ac:dyDescent="0.3">
      <c r="A108" s="321"/>
      <c r="B108" s="79"/>
      <c r="C108" s="108"/>
      <c r="D108" s="73"/>
      <c r="E108" s="319" t="s">
        <v>336</v>
      </c>
      <c r="F108" s="5"/>
      <c r="G108" s="5"/>
      <c r="H108" s="108"/>
      <c r="I108" s="108"/>
      <c r="J108" s="316"/>
      <c r="K108" s="60"/>
      <c r="L108" s="60"/>
      <c r="M108" s="66"/>
      <c r="N108" s="125"/>
      <c r="O108" s="125"/>
      <c r="Q108"/>
    </row>
    <row r="109" spans="1:19" ht="12.75" customHeight="1" x14ac:dyDescent="0.3">
      <c r="A109" s="321"/>
      <c r="B109" s="79"/>
      <c r="C109" s="108"/>
      <c r="D109" s="73"/>
      <c r="E109" s="80" t="s">
        <v>228</v>
      </c>
      <c r="F109" s="5"/>
      <c r="G109" s="5"/>
      <c r="H109" s="108"/>
      <c r="I109" s="108"/>
      <c r="J109" s="316"/>
      <c r="K109" s="60"/>
      <c r="L109" s="60"/>
      <c r="M109" s="66"/>
      <c r="N109" s="125"/>
      <c r="O109" s="125"/>
      <c r="Q109"/>
    </row>
    <row r="110" spans="1:19" ht="12.75" customHeight="1" x14ac:dyDescent="0.3">
      <c r="A110" s="321"/>
      <c r="B110" s="79"/>
      <c r="C110" s="108"/>
      <c r="D110" s="73"/>
      <c r="E110" s="80" t="s">
        <v>328</v>
      </c>
      <c r="F110" s="5"/>
      <c r="G110" s="5"/>
      <c r="H110" s="108"/>
      <c r="I110" s="108"/>
      <c r="J110" s="316"/>
      <c r="K110" s="60"/>
      <c r="L110" s="60"/>
      <c r="M110" s="66"/>
      <c r="N110" s="125"/>
      <c r="O110" s="125"/>
      <c r="Q110"/>
    </row>
    <row r="111" spans="1:19" ht="12.75" customHeight="1" x14ac:dyDescent="0.3">
      <c r="A111" s="321"/>
      <c r="B111" s="79"/>
      <c r="C111" s="108"/>
      <c r="D111" s="73"/>
      <c r="E111" s="80" t="s">
        <v>229</v>
      </c>
      <c r="F111" s="5"/>
      <c r="G111" s="5"/>
      <c r="H111" s="108"/>
      <c r="I111" s="108"/>
      <c r="J111" s="316"/>
      <c r="K111" s="60"/>
      <c r="L111" s="60"/>
      <c r="M111" s="66"/>
      <c r="N111" s="125"/>
      <c r="O111" s="125"/>
      <c r="Q111"/>
    </row>
    <row r="112" spans="1:19" ht="12.75" customHeight="1" x14ac:dyDescent="0.3">
      <c r="A112" s="321"/>
      <c r="B112" s="79"/>
      <c r="C112" s="108"/>
      <c r="D112" s="73"/>
      <c r="E112" s="80" t="s">
        <v>230</v>
      </c>
      <c r="F112" s="5"/>
      <c r="G112" s="5"/>
      <c r="H112" s="108"/>
      <c r="I112" s="108"/>
      <c r="J112" s="316"/>
      <c r="K112" s="60"/>
      <c r="L112" s="60"/>
      <c r="M112" s="66"/>
      <c r="N112" s="125"/>
      <c r="O112" s="125"/>
      <c r="Q112"/>
    </row>
    <row r="113" spans="1:17" ht="12.75" customHeight="1" x14ac:dyDescent="0.3">
      <c r="A113" s="321"/>
      <c r="B113" s="79"/>
      <c r="C113" s="108"/>
      <c r="D113" s="73"/>
      <c r="E113" t="s">
        <v>231</v>
      </c>
      <c r="F113" s="5"/>
      <c r="G113" s="5"/>
      <c r="H113" s="108"/>
      <c r="I113" s="108"/>
      <c r="J113" s="316"/>
      <c r="K113" s="60"/>
      <c r="L113" s="60"/>
      <c r="M113" s="66"/>
      <c r="N113" s="125"/>
      <c r="O113" s="125"/>
      <c r="Q113"/>
    </row>
    <row r="114" spans="1:17" ht="12.75" customHeight="1" x14ac:dyDescent="0.3">
      <c r="A114" s="321"/>
      <c r="B114" s="79"/>
      <c r="C114" s="108"/>
      <c r="D114" s="73"/>
      <c r="E114" t="s">
        <v>232</v>
      </c>
      <c r="F114" s="5"/>
      <c r="G114" s="5"/>
      <c r="H114" s="108"/>
      <c r="I114" s="108"/>
      <c r="J114" s="316"/>
      <c r="K114" s="60"/>
      <c r="L114" s="60"/>
      <c r="M114" s="66"/>
      <c r="N114" s="125"/>
      <c r="O114" s="125"/>
      <c r="Q114"/>
    </row>
    <row r="115" spans="1:17" ht="12.75" customHeight="1" x14ac:dyDescent="0.3">
      <c r="A115" s="321"/>
      <c r="B115" s="79"/>
      <c r="C115" s="108"/>
      <c r="D115" s="73"/>
      <c r="E115" t="s">
        <v>233</v>
      </c>
      <c r="F115" s="5"/>
      <c r="G115" s="5"/>
      <c r="H115" s="108"/>
      <c r="I115" s="108"/>
      <c r="J115" s="316"/>
      <c r="K115" s="60"/>
      <c r="L115" s="60"/>
      <c r="M115" s="66"/>
      <c r="N115" s="125"/>
      <c r="O115" s="125"/>
    </row>
    <row r="116" spans="1:17" ht="12.75" customHeight="1" x14ac:dyDescent="0.3">
      <c r="A116" s="321"/>
      <c r="B116" s="79"/>
      <c r="C116" s="108"/>
      <c r="D116" s="73"/>
      <c r="E116" t="s">
        <v>329</v>
      </c>
      <c r="F116" s="5"/>
      <c r="G116" s="5"/>
      <c r="H116" s="108"/>
      <c r="I116" s="108"/>
      <c r="J116" s="316"/>
      <c r="K116" s="60"/>
      <c r="L116" s="60"/>
      <c r="M116" s="66"/>
      <c r="N116" s="125"/>
      <c r="O116" s="125"/>
      <c r="Q116"/>
    </row>
    <row r="117" spans="1:17" ht="12.75" customHeight="1" x14ac:dyDescent="0.3">
      <c r="A117" s="321"/>
      <c r="B117" s="79"/>
      <c r="C117" s="108"/>
      <c r="D117" s="73"/>
      <c r="E117" s="87" t="s">
        <v>337</v>
      </c>
      <c r="F117" s="5"/>
      <c r="G117" s="5"/>
      <c r="H117" s="108"/>
      <c r="I117" s="108"/>
      <c r="J117" s="316"/>
      <c r="K117" s="60"/>
      <c r="L117" s="60"/>
      <c r="M117" s="66"/>
      <c r="N117" s="125"/>
      <c r="O117" s="125"/>
      <c r="Q117"/>
    </row>
    <row r="118" spans="1:17" ht="12.75" customHeight="1" x14ac:dyDescent="0.3">
      <c r="A118" s="321"/>
      <c r="B118" s="79"/>
      <c r="C118" s="108"/>
      <c r="D118" s="73"/>
      <c r="E118" t="s">
        <v>330</v>
      </c>
      <c r="F118" s="5"/>
      <c r="G118" s="5"/>
      <c r="H118" s="108"/>
      <c r="I118" s="108"/>
      <c r="J118" s="316"/>
      <c r="K118" s="60"/>
      <c r="L118" s="60"/>
      <c r="M118" s="66"/>
      <c r="N118" s="125"/>
      <c r="O118" s="125"/>
      <c r="Q118"/>
    </row>
    <row r="119" spans="1:17" ht="12.75" customHeight="1" x14ac:dyDescent="0.3">
      <c r="A119" s="321"/>
      <c r="B119" s="187" t="s">
        <v>159</v>
      </c>
      <c r="C119" s="188"/>
      <c r="D119" s="189"/>
      <c r="E119" s="190" t="s">
        <v>234</v>
      </c>
      <c r="F119" s="191"/>
      <c r="G119" s="191"/>
      <c r="H119" s="188"/>
      <c r="I119" s="188"/>
      <c r="J119" s="318"/>
      <c r="K119" s="192"/>
      <c r="L119" s="192">
        <v>0.3</v>
      </c>
      <c r="M119" s="193">
        <v>0.3</v>
      </c>
      <c r="N119" s="125"/>
      <c r="O119" s="125"/>
      <c r="Q119"/>
    </row>
    <row r="120" spans="1:17" ht="12.75" customHeight="1" x14ac:dyDescent="0.3">
      <c r="A120" s="321"/>
      <c r="B120" s="180"/>
      <c r="C120" s="109"/>
      <c r="D120" s="184"/>
      <c r="E120" s="181" t="s">
        <v>235</v>
      </c>
      <c r="F120" s="71"/>
      <c r="G120" s="71"/>
      <c r="H120" s="109"/>
      <c r="I120" s="109"/>
      <c r="J120" s="317"/>
      <c r="K120" s="185"/>
      <c r="L120" s="185"/>
      <c r="M120" s="186"/>
      <c r="N120" s="125"/>
      <c r="O120" s="125"/>
      <c r="Q120"/>
    </row>
    <row r="121" spans="1:17" ht="12.75" customHeight="1" x14ac:dyDescent="0.3">
      <c r="A121" s="321"/>
      <c r="B121" s="79" t="s">
        <v>163</v>
      </c>
      <c r="C121" s="108"/>
      <c r="D121" s="73"/>
      <c r="E121" s="80" t="s">
        <v>236</v>
      </c>
      <c r="F121" s="5"/>
      <c r="G121" s="5"/>
      <c r="H121" s="108"/>
      <c r="I121" s="108"/>
      <c r="J121" s="316"/>
      <c r="K121" s="60"/>
      <c r="L121" s="60">
        <v>0.8</v>
      </c>
      <c r="M121" s="66">
        <v>0.8</v>
      </c>
      <c r="N121" s="125"/>
      <c r="O121" s="125"/>
    </row>
    <row r="122" spans="1:17" ht="12.75" customHeight="1" x14ac:dyDescent="0.3">
      <c r="A122" s="321"/>
      <c r="B122" s="181"/>
      <c r="C122" s="109"/>
      <c r="D122" s="184"/>
      <c r="E122" s="181" t="s">
        <v>237</v>
      </c>
      <c r="F122" s="71"/>
      <c r="G122" s="71"/>
      <c r="H122" s="109"/>
      <c r="I122" s="109"/>
      <c r="J122" s="317"/>
      <c r="K122" s="185"/>
      <c r="L122" s="185"/>
      <c r="M122" s="186"/>
      <c r="N122" s="125"/>
      <c r="O122" s="125"/>
    </row>
    <row r="123" spans="1:17" ht="12.75" customHeight="1" x14ac:dyDescent="0.3">
      <c r="A123" s="321"/>
      <c r="B123" s="79" t="s">
        <v>238</v>
      </c>
      <c r="C123" s="108"/>
      <c r="D123" s="73"/>
      <c r="E123" s="80" t="s">
        <v>239</v>
      </c>
      <c r="F123" s="5"/>
      <c r="G123" s="5"/>
      <c r="H123" s="108"/>
      <c r="I123" s="108"/>
      <c r="J123" s="316"/>
      <c r="K123" s="68"/>
      <c r="L123" s="68">
        <v>0.2</v>
      </c>
      <c r="M123" s="69">
        <v>0.2</v>
      </c>
      <c r="N123" s="125"/>
      <c r="O123" s="125"/>
    </row>
    <row r="124" spans="1:17" ht="12.75" customHeight="1" x14ac:dyDescent="0.3">
      <c r="A124" s="321"/>
      <c r="B124" s="79"/>
      <c r="C124" s="108"/>
      <c r="D124" s="74"/>
      <c r="E124" s="80" t="s">
        <v>240</v>
      </c>
      <c r="F124" s="5"/>
      <c r="G124" s="5"/>
      <c r="H124" s="108"/>
      <c r="I124" s="108"/>
      <c r="J124" s="316"/>
      <c r="K124" s="68"/>
      <c r="L124" s="68"/>
      <c r="M124" s="69"/>
      <c r="N124" s="125"/>
      <c r="O124" s="125"/>
    </row>
    <row r="125" spans="1:17" ht="12.75" customHeight="1" x14ac:dyDescent="0.3">
      <c r="A125" s="321"/>
      <c r="B125" s="180"/>
      <c r="C125" s="109"/>
      <c r="D125" s="72"/>
      <c r="E125" s="181" t="s">
        <v>241</v>
      </c>
      <c r="F125" s="71"/>
      <c r="G125" s="71"/>
      <c r="H125" s="109"/>
      <c r="I125" s="109"/>
      <c r="J125" s="317"/>
      <c r="K125" s="182"/>
      <c r="L125" s="182"/>
      <c r="M125" s="183"/>
      <c r="N125" s="125"/>
      <c r="O125" s="125"/>
    </row>
    <row r="126" spans="1:17" ht="12.75" customHeight="1" x14ac:dyDescent="0.3">
      <c r="A126" s="321"/>
      <c r="B126" s="79" t="s">
        <v>242</v>
      </c>
      <c r="C126" s="108"/>
      <c r="D126" s="74"/>
      <c r="E126" s="80" t="s">
        <v>243</v>
      </c>
      <c r="F126" s="5"/>
      <c r="G126" s="5"/>
      <c r="H126" s="108"/>
      <c r="I126" s="108"/>
      <c r="J126" s="316"/>
      <c r="K126" s="68"/>
      <c r="L126" s="68">
        <v>0.8</v>
      </c>
      <c r="M126" s="69">
        <v>0.8</v>
      </c>
      <c r="N126" s="125"/>
      <c r="O126" s="125"/>
    </row>
    <row r="127" spans="1:17" ht="12.75" customHeight="1" x14ac:dyDescent="0.3">
      <c r="A127" s="321"/>
      <c r="B127" s="79"/>
      <c r="C127" s="108"/>
      <c r="D127" s="74"/>
      <c r="E127" s="80" t="s">
        <v>6</v>
      </c>
      <c r="F127" s="5"/>
      <c r="G127" s="5"/>
      <c r="H127" s="108"/>
      <c r="I127" s="108"/>
      <c r="J127" s="316"/>
      <c r="K127" s="68"/>
      <c r="L127" s="68"/>
      <c r="M127" s="69"/>
      <c r="N127" s="125"/>
      <c r="O127" s="125"/>
    </row>
    <row r="128" spans="1:17" ht="12.75" customHeight="1" x14ac:dyDescent="0.3">
      <c r="A128" s="321"/>
      <c r="B128" s="70"/>
      <c r="C128" s="109"/>
      <c r="D128" s="72"/>
      <c r="E128" s="70"/>
      <c r="F128" s="71"/>
      <c r="G128" s="71"/>
      <c r="H128" s="109"/>
      <c r="I128" s="109"/>
      <c r="J128" s="71"/>
      <c r="K128" s="71"/>
      <c r="L128" s="71"/>
      <c r="M128" s="72"/>
      <c r="N128" s="125"/>
      <c r="O128" s="125"/>
    </row>
    <row r="129" spans="1:15" ht="12.75" customHeight="1" x14ac:dyDescent="0.3">
      <c r="A129" s="321"/>
      <c r="B129" s="65"/>
      <c r="C129" s="125"/>
      <c r="D129" s="325"/>
      <c r="E129" s="65"/>
      <c r="F129" s="325"/>
      <c r="G129" s="325"/>
      <c r="H129" s="125"/>
      <c r="I129" s="125"/>
      <c r="J129" s="324"/>
      <c r="K129" s="326"/>
      <c r="L129" s="326"/>
      <c r="M129" s="326"/>
      <c r="N129" s="125"/>
      <c r="O129" s="125"/>
    </row>
    <row r="130" spans="1:15" ht="12.75" customHeight="1" x14ac:dyDescent="0.3">
      <c r="A130" s="321"/>
      <c r="B130" s="325"/>
      <c r="C130" s="125"/>
      <c r="D130" s="325"/>
      <c r="E130" s="325"/>
      <c r="F130" s="325"/>
      <c r="G130" s="325"/>
      <c r="H130" s="125"/>
      <c r="I130" s="125"/>
      <c r="J130" s="325"/>
      <c r="K130" s="325"/>
      <c r="L130" s="325"/>
      <c r="M130" s="325"/>
      <c r="N130" s="125"/>
      <c r="O130" s="125"/>
    </row>
    <row r="131" spans="1:15" ht="12.75" customHeight="1" x14ac:dyDescent="0.3">
      <c r="A131" s="321"/>
      <c r="B131" s="321"/>
      <c r="C131" s="321"/>
      <c r="D131" s="125"/>
      <c r="E131" s="125"/>
      <c r="F131" s="125"/>
      <c r="G131" s="125"/>
      <c r="H131" s="125"/>
      <c r="I131" s="125"/>
      <c r="J131" s="125"/>
      <c r="K131" s="125"/>
      <c r="L131" s="125"/>
      <c r="M131" s="125"/>
      <c r="N131" s="125"/>
      <c r="O131" s="125"/>
    </row>
    <row r="132" spans="1:15" ht="12.75" customHeight="1" x14ac:dyDescent="0.3">
      <c r="A132" s="321"/>
      <c r="B132" s="321"/>
      <c r="C132" s="321"/>
      <c r="D132" s="125"/>
      <c r="E132" s="125"/>
      <c r="F132" s="125"/>
      <c r="G132" s="125"/>
      <c r="H132" s="125"/>
      <c r="I132" s="125"/>
      <c r="J132" s="125"/>
      <c r="K132" s="125"/>
      <c r="L132" s="125"/>
      <c r="M132" s="125"/>
      <c r="N132" s="125"/>
      <c r="O132" s="125"/>
    </row>
    <row r="133" spans="1:15" ht="12.75" customHeight="1" x14ac:dyDescent="0.3"/>
    <row r="134" spans="1:15" ht="12.75" customHeight="1" x14ac:dyDescent="0.3"/>
    <row r="135" spans="1:15" ht="12.75" customHeight="1" x14ac:dyDescent="0.3"/>
  </sheetData>
  <sheetProtection password="D286" sheet="1" selectLockedCells="1"/>
  <mergeCells count="1">
    <mergeCell ref="B100:D100"/>
  </mergeCells>
  <pageMargins left="0.39370078740157483" right="0.27559055118110237" top="0.62992125984251968" bottom="0.98425196850393704" header="0.51181102362204722" footer="0.25"/>
  <pageSetup paperSize="9" scale="84" fitToHeight="0" orientation="portrait" useFirstPageNumber="1" r:id="rId1"/>
  <headerFooter alignWithMargins="0">
    <oddFooter>&amp;CSTW 1</oddFooter>
  </headerFooter>
  <rowBreaks count="1" manualBreakCount="1">
    <brk id="66" max="14"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8080"/>
  </sheetPr>
  <dimension ref="A1:N105"/>
  <sheetViews>
    <sheetView view="pageBreakPreview" zoomScaleNormal="100" zoomScaleSheetLayoutView="100" workbookViewId="0">
      <pane xSplit="3" ySplit="20" topLeftCell="D21" activePane="bottomRight" state="frozen"/>
      <selection pane="topRight" activeCell="D1" sqref="D1"/>
      <selection pane="bottomLeft" activeCell="A21" sqref="A21"/>
      <selection pane="bottomRight" activeCell="N22" sqref="N22"/>
    </sheetView>
  </sheetViews>
  <sheetFormatPr defaultColWidth="9.109375" defaultRowHeight="13.8" x14ac:dyDescent="0.3"/>
  <cols>
    <col min="1" max="1" width="4.33203125" style="210" customWidth="1"/>
    <col min="2" max="2" width="45.88671875" style="214" customWidth="1"/>
    <col min="3" max="3" width="5.44140625" style="212" bestFit="1" customWidth="1"/>
    <col min="4" max="4" width="13.44140625" style="212" bestFit="1" customWidth="1"/>
    <col min="5" max="5" width="11.88671875" style="212" customWidth="1"/>
    <col min="6" max="6" width="12" style="212" customWidth="1"/>
    <col min="7" max="7" width="10.33203125" style="216" customWidth="1"/>
    <col min="8" max="8" width="13.44140625" style="212" bestFit="1" customWidth="1"/>
    <col min="9" max="11" width="12" style="212" customWidth="1"/>
    <col min="12" max="12" width="0.88671875" style="212" customWidth="1"/>
    <col min="13" max="13" width="11.109375" style="213" customWidth="1"/>
    <col min="14" max="14" width="7.6640625" style="213" customWidth="1"/>
    <col min="15" max="16384" width="9.109375" style="214"/>
  </cols>
  <sheetData>
    <row r="1" spans="2:11" ht="20.399999999999999" x14ac:dyDescent="0.35">
      <c r="B1" s="211" t="s">
        <v>190</v>
      </c>
      <c r="G1" s="723" t="s">
        <v>456</v>
      </c>
      <c r="H1" s="724"/>
      <c r="I1" s="724"/>
      <c r="J1" s="724"/>
      <c r="K1" s="725"/>
    </row>
    <row r="2" spans="2:11" ht="14.4" thickBot="1" x14ac:dyDescent="0.35">
      <c r="B2" s="214" t="s">
        <v>201</v>
      </c>
      <c r="F2" s="215"/>
    </row>
    <row r="3" spans="2:11" x14ac:dyDescent="0.3">
      <c r="B3" s="214" t="s">
        <v>35</v>
      </c>
      <c r="D3" s="217" t="s">
        <v>37</v>
      </c>
      <c r="E3" s="218" t="s">
        <v>192</v>
      </c>
      <c r="F3" s="219"/>
      <c r="G3" s="218" t="s">
        <v>193</v>
      </c>
      <c r="H3" s="220"/>
      <c r="I3" s="218" t="s">
        <v>195</v>
      </c>
      <c r="J3" s="221"/>
    </row>
    <row r="4" spans="2:11" x14ac:dyDescent="0.3">
      <c r="B4" s="214" t="s">
        <v>202</v>
      </c>
      <c r="D4" s="222" t="s">
        <v>191</v>
      </c>
      <c r="E4" s="223">
        <v>200000</v>
      </c>
      <c r="F4" s="224" t="s">
        <v>194</v>
      </c>
      <c r="G4" s="223">
        <v>300000</v>
      </c>
      <c r="H4" s="224" t="s">
        <v>194</v>
      </c>
      <c r="I4" s="223">
        <v>100000</v>
      </c>
      <c r="J4" s="225" t="s">
        <v>194</v>
      </c>
    </row>
    <row r="5" spans="2:11" x14ac:dyDescent="0.3">
      <c r="B5" s="214" t="s">
        <v>36</v>
      </c>
      <c r="D5" s="222" t="s">
        <v>56</v>
      </c>
      <c r="E5" s="223">
        <v>10</v>
      </c>
      <c r="F5" s="224" t="s">
        <v>54</v>
      </c>
      <c r="G5" s="223">
        <v>15</v>
      </c>
      <c r="H5" s="224" t="s">
        <v>54</v>
      </c>
      <c r="I5" s="223">
        <v>15</v>
      </c>
      <c r="J5" s="225" t="s">
        <v>54</v>
      </c>
    </row>
    <row r="6" spans="2:11" x14ac:dyDescent="0.3">
      <c r="D6" s="222" t="s">
        <v>68</v>
      </c>
      <c r="E6" s="223"/>
      <c r="F6" s="224"/>
      <c r="G6" s="223"/>
      <c r="H6" s="224"/>
      <c r="I6" s="223">
        <v>10</v>
      </c>
      <c r="J6" s="225" t="s">
        <v>54</v>
      </c>
    </row>
    <row r="7" spans="2:11" x14ac:dyDescent="0.3">
      <c r="B7" s="214" t="s">
        <v>5</v>
      </c>
      <c r="D7" s="222" t="s">
        <v>196</v>
      </c>
      <c r="E7" s="223"/>
      <c r="F7" s="224"/>
      <c r="G7" s="223"/>
      <c r="H7" s="224"/>
      <c r="I7" s="223">
        <v>12</v>
      </c>
      <c r="J7" s="225" t="s">
        <v>54</v>
      </c>
    </row>
    <row r="8" spans="2:11" x14ac:dyDescent="0.3">
      <c r="B8" s="214" t="s">
        <v>200</v>
      </c>
      <c r="D8" s="222" t="s">
        <v>67</v>
      </c>
      <c r="E8" s="223"/>
      <c r="F8" s="224"/>
      <c r="G8" s="223"/>
      <c r="H8" s="224"/>
      <c r="I8" s="223">
        <v>5</v>
      </c>
      <c r="J8" s="225" t="s">
        <v>54</v>
      </c>
    </row>
    <row r="9" spans="2:11" x14ac:dyDescent="0.3">
      <c r="B9" s="214" t="s">
        <v>293</v>
      </c>
      <c r="D9" s="226" t="s">
        <v>199</v>
      </c>
      <c r="E9" s="223"/>
      <c r="F9" s="224"/>
      <c r="G9" s="223"/>
      <c r="H9" s="224"/>
      <c r="I9" s="223">
        <v>2</v>
      </c>
      <c r="J9" s="227" t="s">
        <v>54</v>
      </c>
    </row>
    <row r="10" spans="2:11" x14ac:dyDescent="0.3">
      <c r="B10" s="214" t="s">
        <v>34</v>
      </c>
      <c r="D10" s="226" t="s">
        <v>197</v>
      </c>
      <c r="E10" s="223"/>
      <c r="F10" s="224"/>
      <c r="G10" s="223"/>
      <c r="H10" s="224"/>
      <c r="I10" s="223">
        <v>1</v>
      </c>
      <c r="J10" s="227" t="s">
        <v>54</v>
      </c>
    </row>
    <row r="11" spans="2:11" x14ac:dyDescent="0.3">
      <c r="B11" s="214" t="s">
        <v>310</v>
      </c>
      <c r="D11" s="222" t="s">
        <v>81</v>
      </c>
      <c r="E11" s="223"/>
      <c r="F11" s="224"/>
      <c r="G11" s="223"/>
      <c r="H11" s="224"/>
      <c r="I11" s="223">
        <v>55</v>
      </c>
      <c r="J11" s="227" t="s">
        <v>70</v>
      </c>
    </row>
    <row r="12" spans="2:11" x14ac:dyDescent="0.3">
      <c r="B12" s="214" t="s">
        <v>393</v>
      </c>
      <c r="D12" s="222" t="s">
        <v>65</v>
      </c>
      <c r="E12" s="223">
        <v>125</v>
      </c>
      <c r="F12" s="224" t="s">
        <v>57</v>
      </c>
      <c r="G12" s="223">
        <v>335</v>
      </c>
      <c r="H12" s="224" t="s">
        <v>57</v>
      </c>
      <c r="I12" s="223">
        <v>540</v>
      </c>
      <c r="J12" s="227" t="s">
        <v>57</v>
      </c>
    </row>
    <row r="13" spans="2:11" x14ac:dyDescent="0.3">
      <c r="B13" s="214" t="s">
        <v>394</v>
      </c>
      <c r="D13" s="222" t="s">
        <v>198</v>
      </c>
      <c r="E13" s="223"/>
      <c r="F13" s="224"/>
      <c r="G13" s="223"/>
      <c r="H13" s="224"/>
      <c r="I13" s="223">
        <v>45</v>
      </c>
      <c r="J13" s="227" t="s">
        <v>70</v>
      </c>
    </row>
    <row r="14" spans="2:11" ht="14.4" thickBot="1" x14ac:dyDescent="0.35">
      <c r="D14" s="228"/>
      <c r="E14" s="229"/>
      <c r="F14" s="230"/>
      <c r="G14" s="229"/>
      <c r="H14" s="230"/>
      <c r="I14" s="229"/>
      <c r="J14" s="231"/>
    </row>
    <row r="15" spans="2:11" x14ac:dyDescent="0.3">
      <c r="B15" s="214" t="s">
        <v>395</v>
      </c>
      <c r="F15" s="215"/>
      <c r="G15" s="212"/>
      <c r="H15" s="215"/>
      <c r="J15" s="232"/>
    </row>
    <row r="16" spans="2:11" ht="14.4" thickBot="1" x14ac:dyDescent="0.35">
      <c r="B16" s="215"/>
      <c r="D16" s="215"/>
      <c r="E16" s="215"/>
      <c r="F16" s="215"/>
      <c r="G16" s="215"/>
      <c r="H16" s="215"/>
    </row>
    <row r="17" spans="1:14" ht="15.6" x14ac:dyDescent="0.3">
      <c r="B17" s="731" t="s">
        <v>135</v>
      </c>
      <c r="C17" s="734" t="s">
        <v>73</v>
      </c>
      <c r="D17" s="729" t="s">
        <v>115</v>
      </c>
      <c r="E17" s="730"/>
      <c r="F17" s="730"/>
      <c r="G17" s="730"/>
      <c r="H17" s="726" t="s">
        <v>119</v>
      </c>
      <c r="I17" s="727"/>
      <c r="J17" s="727"/>
      <c r="K17" s="728"/>
      <c r="L17" s="233"/>
      <c r="M17" s="234" t="s">
        <v>94</v>
      </c>
      <c r="N17" s="235" t="s">
        <v>58</v>
      </c>
    </row>
    <row r="18" spans="1:14" s="216" customFormat="1" ht="28.5" customHeight="1" x14ac:dyDescent="0.3">
      <c r="A18" s="236"/>
      <c r="B18" s="732"/>
      <c r="C18" s="735"/>
      <c r="D18" s="237" t="s">
        <v>116</v>
      </c>
      <c r="E18" s="238" t="s">
        <v>117</v>
      </c>
      <c r="F18" s="238" t="s">
        <v>118</v>
      </c>
      <c r="G18" s="239" t="s">
        <v>121</v>
      </c>
      <c r="H18" s="237" t="s">
        <v>116</v>
      </c>
      <c r="I18" s="238" t="s">
        <v>117</v>
      </c>
      <c r="J18" s="238" t="s">
        <v>118</v>
      </c>
      <c r="K18" s="240" t="s">
        <v>120</v>
      </c>
      <c r="L18" s="241"/>
      <c r="M18" s="234" t="s">
        <v>95</v>
      </c>
      <c r="N18" s="235"/>
    </row>
    <row r="19" spans="1:14" s="252" customFormat="1" ht="57.75" customHeight="1" thickBot="1" x14ac:dyDescent="0.35">
      <c r="A19" s="242"/>
      <c r="B19" s="733"/>
      <c r="C19" s="736"/>
      <c r="D19" s="243" t="s">
        <v>93</v>
      </c>
      <c r="E19" s="244" t="s">
        <v>92</v>
      </c>
      <c r="F19" s="244" t="s">
        <v>71</v>
      </c>
      <c r="G19" s="245"/>
      <c r="H19" s="246" t="s">
        <v>203</v>
      </c>
      <c r="I19" s="247" t="s">
        <v>203</v>
      </c>
      <c r="J19" s="247" t="s">
        <v>203</v>
      </c>
      <c r="K19" s="248" t="s">
        <v>203</v>
      </c>
      <c r="L19" s="249"/>
      <c r="M19" s="250" t="s">
        <v>96</v>
      </c>
      <c r="N19" s="251"/>
    </row>
    <row r="20" spans="1:14" x14ac:dyDescent="0.3">
      <c r="B20" s="253" t="s">
        <v>112</v>
      </c>
      <c r="C20" s="254"/>
      <c r="D20" s="253" t="s">
        <v>122</v>
      </c>
      <c r="E20" s="254"/>
      <c r="F20" s="254"/>
      <c r="G20" s="254"/>
      <c r="H20" s="255"/>
      <c r="I20" s="256"/>
      <c r="J20" s="256"/>
      <c r="K20" s="257"/>
      <c r="L20" s="258"/>
      <c r="M20" s="259"/>
    </row>
    <row r="21" spans="1:14" ht="15.6" x14ac:dyDescent="0.3">
      <c r="B21" s="260" t="s">
        <v>3</v>
      </c>
      <c r="C21" s="261" t="s">
        <v>59</v>
      </c>
      <c r="D21" s="155">
        <v>200000</v>
      </c>
      <c r="E21" s="156">
        <v>300000</v>
      </c>
      <c r="F21" s="156">
        <v>100000</v>
      </c>
      <c r="G21" s="262">
        <f>IF(CONCATENATE(D21,E21,F21)="","",SUM(D21:F21))</f>
        <v>600000</v>
      </c>
      <c r="H21" s="263">
        <f t="shared" ref="H21:K23" si="0">IF(D21="","",D21*$N21)</f>
        <v>164</v>
      </c>
      <c r="I21" s="264">
        <f t="shared" si="0"/>
        <v>246</v>
      </c>
      <c r="J21" s="264">
        <f t="shared" si="0"/>
        <v>82</v>
      </c>
      <c r="K21" s="265">
        <f t="shared" si="0"/>
        <v>492</v>
      </c>
      <c r="L21" s="266"/>
      <c r="M21" s="267" t="s">
        <v>111</v>
      </c>
      <c r="N21" s="213">
        <f>Emissions!N14</f>
        <v>8.1999999999999998E-4</v>
      </c>
    </row>
    <row r="22" spans="1:14" ht="15.6" x14ac:dyDescent="0.3">
      <c r="B22" s="260" t="s">
        <v>4</v>
      </c>
      <c r="C22" s="261" t="s">
        <v>59</v>
      </c>
      <c r="D22" s="155"/>
      <c r="E22" s="156"/>
      <c r="F22" s="156"/>
      <c r="G22" s="262"/>
      <c r="H22" s="263"/>
      <c r="I22" s="264"/>
      <c r="J22" s="264"/>
      <c r="K22" s="265"/>
      <c r="L22" s="266"/>
      <c r="M22" s="267" t="s">
        <v>111</v>
      </c>
      <c r="N22" s="213">
        <f>Emissions!N15</f>
        <v>8.0000000000000004E-4</v>
      </c>
    </row>
    <row r="23" spans="1:14" ht="15.6" x14ac:dyDescent="0.3">
      <c r="B23" s="260" t="s">
        <v>114</v>
      </c>
      <c r="C23" s="261" t="s">
        <v>59</v>
      </c>
      <c r="D23" s="155"/>
      <c r="E23" s="156"/>
      <c r="F23" s="156"/>
      <c r="G23" s="262" t="str">
        <f>IF(CONCATENATE(D23,E23,F23)="","",SUM(D23:F23))</f>
        <v/>
      </c>
      <c r="H23" s="263" t="str">
        <f t="shared" si="0"/>
        <v/>
      </c>
      <c r="I23" s="264" t="str">
        <f t="shared" si="0"/>
        <v/>
      </c>
      <c r="J23" s="264" t="str">
        <f t="shared" si="0"/>
        <v/>
      </c>
      <c r="K23" s="265" t="str">
        <f t="shared" si="0"/>
        <v/>
      </c>
      <c r="L23" s="266"/>
      <c r="M23" s="267" t="s">
        <v>111</v>
      </c>
      <c r="N23" s="213">
        <f>Emissions!N16</f>
        <v>1.07E-3</v>
      </c>
    </row>
    <row r="24" spans="1:14" x14ac:dyDescent="0.3">
      <c r="B24" s="268" t="s">
        <v>74</v>
      </c>
      <c r="C24" s="269" t="s">
        <v>182</v>
      </c>
      <c r="D24" s="270"/>
      <c r="E24" s="271"/>
      <c r="F24" s="271"/>
      <c r="G24" s="272"/>
      <c r="H24" s="273">
        <f>SUM(H21:H23)</f>
        <v>164</v>
      </c>
      <c r="I24" s="274">
        <f>SUM(I21:I23)</f>
        <v>246</v>
      </c>
      <c r="J24" s="274">
        <f>SUM(J21:J23)</f>
        <v>82</v>
      </c>
      <c r="K24" s="275">
        <f>SUM(K21:K23)</f>
        <v>492</v>
      </c>
      <c r="L24" s="266"/>
      <c r="M24" s="267"/>
      <c r="N24" s="213">
        <f>Emissions!N17</f>
        <v>0</v>
      </c>
    </row>
    <row r="25" spans="1:14" ht="9.75" customHeight="1" x14ac:dyDescent="0.3">
      <c r="B25" s="276"/>
      <c r="C25" s="277"/>
      <c r="D25" s="270"/>
      <c r="E25" s="271"/>
      <c r="F25" s="271"/>
      <c r="G25" s="272"/>
      <c r="H25" s="263"/>
      <c r="I25" s="264"/>
      <c r="J25" s="264"/>
      <c r="K25" s="265"/>
      <c r="L25" s="223"/>
      <c r="M25" s="278"/>
      <c r="N25" s="213">
        <f>Emissions!N18</f>
        <v>0</v>
      </c>
    </row>
    <row r="26" spans="1:14" x14ac:dyDescent="0.3">
      <c r="B26" s="279" t="s">
        <v>171</v>
      </c>
      <c r="C26" s="280"/>
      <c r="D26" s="281"/>
      <c r="E26" s="282"/>
      <c r="F26" s="282"/>
      <c r="G26" s="282"/>
      <c r="H26" s="283"/>
      <c r="I26" s="284"/>
      <c r="J26" s="284"/>
      <c r="K26" s="285"/>
      <c r="L26" s="258"/>
      <c r="M26" s="259"/>
      <c r="N26" s="213">
        <f>Emissions!N19</f>
        <v>0</v>
      </c>
    </row>
    <row r="27" spans="1:14" x14ac:dyDescent="0.3">
      <c r="B27" s="276" t="s">
        <v>89</v>
      </c>
      <c r="C27" s="277" t="s">
        <v>54</v>
      </c>
      <c r="D27" s="157"/>
      <c r="E27" s="158"/>
      <c r="F27" s="158"/>
      <c r="G27" s="272" t="str">
        <f t="shared" ref="G27:G34" si="1">IF(CONCATENATE(D27,E27,F27)="","",SUM(D27:F27))</f>
        <v/>
      </c>
      <c r="H27" s="263" t="str">
        <f t="shared" ref="H27:J34" si="2">IF(D27="","",IF($C27="L",D27*$N27/1000,D27*$N27))</f>
        <v/>
      </c>
      <c r="I27" s="264" t="str">
        <f t="shared" si="2"/>
        <v/>
      </c>
      <c r="J27" s="264" t="str">
        <f t="shared" si="2"/>
        <v/>
      </c>
      <c r="K27" s="265" t="str">
        <f t="shared" ref="K27:K34" si="3">IF(CONCATENATE(H27,I27,J27)="","",SUM(H27:J27))</f>
        <v/>
      </c>
      <c r="L27" s="266"/>
      <c r="M27" s="267" t="s">
        <v>103</v>
      </c>
      <c r="N27" s="213">
        <f>Emissions!N20</f>
        <v>2.2425250000000001</v>
      </c>
    </row>
    <row r="28" spans="1:14" x14ac:dyDescent="0.3">
      <c r="B28" s="276" t="s">
        <v>90</v>
      </c>
      <c r="C28" s="277" t="s">
        <v>54</v>
      </c>
      <c r="D28" s="157"/>
      <c r="E28" s="158"/>
      <c r="F28" s="158"/>
      <c r="G28" s="272" t="str">
        <f t="shared" si="1"/>
        <v/>
      </c>
      <c r="H28" s="263" t="str">
        <f t="shared" si="2"/>
        <v/>
      </c>
      <c r="I28" s="264" t="str">
        <f t="shared" si="2"/>
        <v/>
      </c>
      <c r="J28" s="264" t="str">
        <f t="shared" si="2"/>
        <v/>
      </c>
      <c r="K28" s="265" t="str">
        <f t="shared" si="3"/>
        <v/>
      </c>
      <c r="L28" s="266"/>
      <c r="M28" s="267" t="s">
        <v>103</v>
      </c>
      <c r="N28" s="213">
        <f>Emissions!N21</f>
        <v>2.5837279999999998</v>
      </c>
    </row>
    <row r="29" spans="1:14" x14ac:dyDescent="0.3">
      <c r="B29" s="276" t="s">
        <v>104</v>
      </c>
      <c r="C29" s="277" t="s">
        <v>54</v>
      </c>
      <c r="D29" s="157">
        <v>10</v>
      </c>
      <c r="E29" s="158">
        <v>15</v>
      </c>
      <c r="F29" s="158">
        <v>15</v>
      </c>
      <c r="G29" s="272">
        <f t="shared" si="1"/>
        <v>40</v>
      </c>
      <c r="H29" s="263">
        <f t="shared" si="2"/>
        <v>29.485189999999992</v>
      </c>
      <c r="I29" s="264">
        <f t="shared" si="2"/>
        <v>44.22778499999999</v>
      </c>
      <c r="J29" s="264">
        <f t="shared" si="2"/>
        <v>44.22778499999999</v>
      </c>
      <c r="K29" s="265">
        <f t="shared" si="3"/>
        <v>117.94075999999998</v>
      </c>
      <c r="L29" s="266"/>
      <c r="M29" s="267" t="s">
        <v>103</v>
      </c>
      <c r="N29" s="213">
        <f>Emissions!N22</f>
        <v>2.9485189999999992</v>
      </c>
    </row>
    <row r="30" spans="1:14" x14ac:dyDescent="0.3">
      <c r="B30" s="276" t="s">
        <v>105</v>
      </c>
      <c r="C30" s="277" t="s">
        <v>54</v>
      </c>
      <c r="D30" s="157"/>
      <c r="E30" s="158"/>
      <c r="F30" s="158"/>
      <c r="G30" s="272" t="str">
        <f t="shared" si="1"/>
        <v/>
      </c>
      <c r="H30" s="263" t="str">
        <f t="shared" si="2"/>
        <v/>
      </c>
      <c r="I30" s="264" t="str">
        <f t="shared" si="2"/>
        <v/>
      </c>
      <c r="J30" s="264" t="str">
        <f t="shared" si="2"/>
        <v/>
      </c>
      <c r="K30" s="265" t="str">
        <f t="shared" si="3"/>
        <v/>
      </c>
      <c r="L30" s="266"/>
      <c r="M30" s="267" t="s">
        <v>103</v>
      </c>
      <c r="N30" s="213">
        <f>Emissions!N23</f>
        <v>8.9959999999999998E-2</v>
      </c>
    </row>
    <row r="31" spans="1:14" x14ac:dyDescent="0.3">
      <c r="B31" s="276" t="s">
        <v>106</v>
      </c>
      <c r="C31" s="277" t="s">
        <v>54</v>
      </c>
      <c r="D31" s="157"/>
      <c r="E31" s="158"/>
      <c r="F31" s="158"/>
      <c r="G31" s="272" t="str">
        <f t="shared" si="1"/>
        <v/>
      </c>
      <c r="H31" s="263" t="str">
        <f t="shared" si="2"/>
        <v/>
      </c>
      <c r="I31" s="264" t="str">
        <f t="shared" si="2"/>
        <v/>
      </c>
      <c r="J31" s="264" t="str">
        <f t="shared" si="2"/>
        <v/>
      </c>
      <c r="K31" s="265" t="str">
        <f t="shared" si="3"/>
        <v/>
      </c>
      <c r="L31" s="266"/>
      <c r="M31" s="267" t="s">
        <v>103</v>
      </c>
      <c r="N31" s="213">
        <f>Emissions!N24</f>
        <v>2.3126040000000003</v>
      </c>
    </row>
    <row r="32" spans="1:14" x14ac:dyDescent="0.3">
      <c r="B32" s="276" t="s">
        <v>107</v>
      </c>
      <c r="C32" s="277" t="s">
        <v>54</v>
      </c>
      <c r="D32" s="157"/>
      <c r="E32" s="158"/>
      <c r="F32" s="158">
        <v>10</v>
      </c>
      <c r="G32" s="272">
        <f t="shared" si="1"/>
        <v>10</v>
      </c>
      <c r="H32" s="263" t="str">
        <f t="shared" si="2"/>
        <v/>
      </c>
      <c r="I32" s="264" t="str">
        <f t="shared" si="2"/>
        <v/>
      </c>
      <c r="J32" s="264">
        <f t="shared" si="2"/>
        <v>27.21686</v>
      </c>
      <c r="K32" s="265">
        <f t="shared" si="3"/>
        <v>27.21686</v>
      </c>
      <c r="L32" s="266"/>
      <c r="M32" s="267" t="s">
        <v>103</v>
      </c>
      <c r="N32" s="213">
        <f>Emissions!N25</f>
        <v>2.721686</v>
      </c>
    </row>
    <row r="33" spans="2:14" x14ac:dyDescent="0.3">
      <c r="B33" s="276" t="s">
        <v>108</v>
      </c>
      <c r="C33" s="277" t="s">
        <v>54</v>
      </c>
      <c r="D33" s="157"/>
      <c r="E33" s="158"/>
      <c r="F33" s="158"/>
      <c r="G33" s="272" t="str">
        <f t="shared" si="1"/>
        <v/>
      </c>
      <c r="H33" s="263" t="str">
        <f t="shared" si="2"/>
        <v/>
      </c>
      <c r="I33" s="264" t="str">
        <f t="shared" si="2"/>
        <v/>
      </c>
      <c r="J33" s="264" t="str">
        <f t="shared" si="2"/>
        <v/>
      </c>
      <c r="K33" s="265" t="str">
        <f t="shared" si="3"/>
        <v/>
      </c>
      <c r="L33" s="266"/>
      <c r="M33" s="267" t="s">
        <v>103</v>
      </c>
      <c r="N33" s="213">
        <f>Emissions!N26</f>
        <v>1.59558</v>
      </c>
    </row>
    <row r="34" spans="2:14" x14ac:dyDescent="0.3">
      <c r="B34" s="276" t="s">
        <v>109</v>
      </c>
      <c r="C34" s="277" t="s">
        <v>54</v>
      </c>
      <c r="D34" s="157"/>
      <c r="E34" s="158"/>
      <c r="F34" s="158">
        <v>12</v>
      </c>
      <c r="G34" s="272">
        <f t="shared" si="1"/>
        <v>12</v>
      </c>
      <c r="H34" s="263" t="str">
        <f t="shared" si="2"/>
        <v/>
      </c>
      <c r="I34" s="264" t="str">
        <f t="shared" si="2"/>
        <v/>
      </c>
      <c r="J34" s="264">
        <f t="shared" si="2"/>
        <v>0.11232</v>
      </c>
      <c r="K34" s="265">
        <f t="shared" si="3"/>
        <v>0.11232</v>
      </c>
      <c r="L34" s="266"/>
      <c r="M34" s="267" t="s">
        <v>103</v>
      </c>
      <c r="N34" s="213">
        <f>Emissions!N27</f>
        <v>9.3600000000000003E-3</v>
      </c>
    </row>
    <row r="35" spans="2:14" x14ac:dyDescent="0.3">
      <c r="B35" s="268" t="s">
        <v>74</v>
      </c>
      <c r="C35" s="269" t="s">
        <v>182</v>
      </c>
      <c r="D35" s="270"/>
      <c r="E35" s="271"/>
      <c r="F35" s="271"/>
      <c r="G35" s="272"/>
      <c r="H35" s="273">
        <f>SUM(H27:H34)</f>
        <v>29.485189999999992</v>
      </c>
      <c r="I35" s="274">
        <f>SUM(I27:I34)</f>
        <v>44.22778499999999</v>
      </c>
      <c r="J35" s="274">
        <f>SUM(J27:J34)</f>
        <v>71.556964999999991</v>
      </c>
      <c r="K35" s="275">
        <f>SUM(K27:K34)</f>
        <v>145.26993999999999</v>
      </c>
      <c r="L35" s="286"/>
      <c r="M35" s="287"/>
      <c r="N35" s="213">
        <f>Emissions!N28</f>
        <v>0</v>
      </c>
    </row>
    <row r="36" spans="2:14" ht="9.75" customHeight="1" x14ac:dyDescent="0.3">
      <c r="B36" s="276"/>
      <c r="C36" s="277"/>
      <c r="D36" s="270"/>
      <c r="E36" s="271"/>
      <c r="F36" s="271"/>
      <c r="G36" s="272"/>
      <c r="H36" s="263"/>
      <c r="I36" s="264"/>
      <c r="J36" s="264"/>
      <c r="K36" s="265"/>
      <c r="L36" s="223"/>
      <c r="M36" s="278"/>
      <c r="N36" s="213">
        <f>Emissions!N29</f>
        <v>0</v>
      </c>
    </row>
    <row r="37" spans="2:14" x14ac:dyDescent="0.3">
      <c r="B37" s="279" t="s">
        <v>172</v>
      </c>
      <c r="C37" s="280"/>
      <c r="D37" s="281"/>
      <c r="E37" s="282"/>
      <c r="F37" s="282"/>
      <c r="G37" s="282"/>
      <c r="H37" s="283"/>
      <c r="I37" s="284"/>
      <c r="J37" s="284"/>
      <c r="K37" s="285"/>
      <c r="L37" s="258"/>
      <c r="M37" s="259"/>
      <c r="N37" s="213">
        <f>Emissions!N30</f>
        <v>0</v>
      </c>
    </row>
    <row r="38" spans="2:14" x14ac:dyDescent="0.3">
      <c r="B38" s="288" t="s">
        <v>86</v>
      </c>
      <c r="C38" s="277" t="s">
        <v>54</v>
      </c>
      <c r="D38" s="157"/>
      <c r="E38" s="158"/>
      <c r="F38" s="158"/>
      <c r="G38" s="272" t="str">
        <f t="shared" ref="G38:G46" si="4">IF(CONCATENATE(D38,E38,F38)="","",SUM(D38:F38))</f>
        <v/>
      </c>
      <c r="H38" s="263" t="str">
        <f t="shared" ref="H38:H46" si="5">IF(D38="","",IF($C38="L",D38*$N38/1000,D38*$N38))</f>
        <v/>
      </c>
      <c r="I38" s="264" t="str">
        <f t="shared" ref="I38:I46" si="6">IF(E38="","",IF($C38="L",E38*$N38/1000,E38*$N38))</f>
        <v/>
      </c>
      <c r="J38" s="264" t="str">
        <f t="shared" ref="J38:J46" si="7">IF(F38="","",IF($C38="L",F38*$N38/1000,F38*$N38))</f>
        <v/>
      </c>
      <c r="K38" s="265" t="str">
        <f t="shared" ref="K38:K46" si="8">IF(CONCATENATE(H38,I38,J38)="","",SUM(H38:J38))</f>
        <v/>
      </c>
      <c r="L38" s="266"/>
      <c r="M38" s="267" t="s">
        <v>101</v>
      </c>
      <c r="N38" s="213">
        <f>Emissions!N31</f>
        <v>0.53931999999999991</v>
      </c>
    </row>
    <row r="39" spans="2:14" x14ac:dyDescent="0.3">
      <c r="B39" s="288" t="s">
        <v>87</v>
      </c>
      <c r="C39" s="277" t="s">
        <v>54</v>
      </c>
      <c r="D39" s="157"/>
      <c r="E39" s="158"/>
      <c r="F39" s="158"/>
      <c r="G39" s="272" t="str">
        <f t="shared" si="4"/>
        <v/>
      </c>
      <c r="H39" s="263" t="str">
        <f t="shared" si="5"/>
        <v/>
      </c>
      <c r="I39" s="264" t="str">
        <f t="shared" si="6"/>
        <v/>
      </c>
      <c r="J39" s="264" t="str">
        <f t="shared" si="7"/>
        <v/>
      </c>
      <c r="K39" s="265" t="str">
        <f t="shared" si="8"/>
        <v/>
      </c>
      <c r="L39" s="266"/>
      <c r="M39" s="267" t="s">
        <v>101</v>
      </c>
      <c r="N39" s="213">
        <f>Emissions!N32</f>
        <v>2.3187600000000006</v>
      </c>
    </row>
    <row r="40" spans="2:14" x14ac:dyDescent="0.3">
      <c r="B40" s="288" t="s">
        <v>88</v>
      </c>
      <c r="C40" s="277" t="s">
        <v>54</v>
      </c>
      <c r="D40" s="157"/>
      <c r="E40" s="158"/>
      <c r="F40" s="158"/>
      <c r="G40" s="272" t="str">
        <f t="shared" si="4"/>
        <v/>
      </c>
      <c r="H40" s="263" t="str">
        <f t="shared" si="5"/>
        <v/>
      </c>
      <c r="I40" s="264" t="str">
        <f t="shared" si="6"/>
        <v/>
      </c>
      <c r="J40" s="264" t="str">
        <f t="shared" si="7"/>
        <v/>
      </c>
      <c r="K40" s="265" t="str">
        <f t="shared" si="8"/>
        <v/>
      </c>
      <c r="L40" s="266"/>
      <c r="M40" s="267" t="s">
        <v>101</v>
      </c>
      <c r="N40" s="213">
        <f>Emissions!N33</f>
        <v>2.5912500000000005</v>
      </c>
    </row>
    <row r="41" spans="2:14" x14ac:dyDescent="0.3">
      <c r="B41" s="288" t="s">
        <v>67</v>
      </c>
      <c r="C41" s="277" t="s">
        <v>54</v>
      </c>
      <c r="D41" s="157"/>
      <c r="E41" s="158"/>
      <c r="F41" s="158">
        <v>5</v>
      </c>
      <c r="G41" s="272">
        <f t="shared" si="4"/>
        <v>5</v>
      </c>
      <c r="H41" s="263" t="str">
        <f t="shared" si="5"/>
        <v/>
      </c>
      <c r="I41" s="264" t="str">
        <f t="shared" si="6"/>
        <v/>
      </c>
      <c r="J41" s="264">
        <f t="shared" si="7"/>
        <v>13.004645000000002</v>
      </c>
      <c r="K41" s="265">
        <f t="shared" si="8"/>
        <v>13.004645000000002</v>
      </c>
      <c r="L41" s="266"/>
      <c r="M41" s="267" t="s">
        <v>101</v>
      </c>
      <c r="N41" s="213">
        <f>Emissions!N34</f>
        <v>2.6009290000000003</v>
      </c>
    </row>
    <row r="42" spans="2:14" x14ac:dyDescent="0.3">
      <c r="B42" s="288" t="s">
        <v>68</v>
      </c>
      <c r="C42" s="277" t="s">
        <v>54</v>
      </c>
      <c r="D42" s="157"/>
      <c r="E42" s="158"/>
      <c r="F42" s="158">
        <v>1.5</v>
      </c>
      <c r="G42" s="272">
        <f t="shared" si="4"/>
        <v>1.5</v>
      </c>
      <c r="H42" s="263" t="str">
        <f t="shared" si="5"/>
        <v/>
      </c>
      <c r="I42" s="264" t="str">
        <f t="shared" si="6"/>
        <v/>
      </c>
      <c r="J42" s="264">
        <f t="shared" si="7"/>
        <v>4.0645800000000003</v>
      </c>
      <c r="K42" s="265">
        <f t="shared" si="8"/>
        <v>4.0645800000000003</v>
      </c>
      <c r="L42" s="266"/>
      <c r="M42" s="267" t="s">
        <v>101</v>
      </c>
      <c r="N42" s="213">
        <f>Emissions!N35</f>
        <v>2.7097200000000004</v>
      </c>
    </row>
    <row r="43" spans="2:14" x14ac:dyDescent="0.3">
      <c r="B43" s="288" t="s">
        <v>56</v>
      </c>
      <c r="C43" s="277" t="s">
        <v>54</v>
      </c>
      <c r="D43" s="157"/>
      <c r="E43" s="158"/>
      <c r="F43" s="158"/>
      <c r="G43" s="272" t="str">
        <f t="shared" si="4"/>
        <v/>
      </c>
      <c r="H43" s="263" t="str">
        <f t="shared" si="5"/>
        <v/>
      </c>
      <c r="I43" s="264" t="str">
        <f t="shared" si="6"/>
        <v/>
      </c>
      <c r="J43" s="264" t="str">
        <f t="shared" si="7"/>
        <v/>
      </c>
      <c r="K43" s="265" t="str">
        <f t="shared" si="8"/>
        <v/>
      </c>
      <c r="L43" s="266"/>
      <c r="M43" s="267" t="s">
        <v>101</v>
      </c>
      <c r="N43" s="213">
        <f>Emissions!N36</f>
        <v>2.9314480000000005</v>
      </c>
    </row>
    <row r="44" spans="2:14" x14ac:dyDescent="0.3">
      <c r="B44" s="288" t="s">
        <v>69</v>
      </c>
      <c r="C44" s="277" t="s">
        <v>54</v>
      </c>
      <c r="D44" s="157"/>
      <c r="E44" s="158"/>
      <c r="F44" s="158"/>
      <c r="G44" s="272" t="str">
        <f t="shared" si="4"/>
        <v/>
      </c>
      <c r="H44" s="263" t="str">
        <f t="shared" si="5"/>
        <v/>
      </c>
      <c r="I44" s="264" t="str">
        <f t="shared" si="6"/>
        <v/>
      </c>
      <c r="J44" s="264" t="str">
        <f t="shared" si="7"/>
        <v/>
      </c>
      <c r="K44" s="265" t="str">
        <f t="shared" si="8"/>
        <v/>
      </c>
      <c r="L44" s="266"/>
      <c r="M44" s="267" t="s">
        <v>101</v>
      </c>
      <c r="N44" s="213">
        <f>Emissions!N37</f>
        <v>1.55742</v>
      </c>
    </row>
    <row r="45" spans="2:14" x14ac:dyDescent="0.3">
      <c r="B45" s="288" t="s">
        <v>55</v>
      </c>
      <c r="C45" s="277" t="s">
        <v>54</v>
      </c>
      <c r="D45" s="157"/>
      <c r="E45" s="158"/>
      <c r="F45" s="158"/>
      <c r="G45" s="272" t="str">
        <f t="shared" si="4"/>
        <v/>
      </c>
      <c r="H45" s="263" t="str">
        <f t="shared" si="5"/>
        <v/>
      </c>
      <c r="I45" s="264" t="str">
        <f t="shared" si="6"/>
        <v/>
      </c>
      <c r="J45" s="264" t="str">
        <f t="shared" si="7"/>
        <v/>
      </c>
      <c r="K45" s="265" t="str">
        <f t="shared" si="8"/>
        <v/>
      </c>
      <c r="L45" s="266"/>
      <c r="M45" s="267" t="s">
        <v>101</v>
      </c>
      <c r="N45" s="213">
        <f>Emissions!N38</f>
        <v>9.3420000000000013E-3</v>
      </c>
    </row>
    <row r="46" spans="2:14" x14ac:dyDescent="0.3">
      <c r="B46" s="288" t="s">
        <v>102</v>
      </c>
      <c r="C46" s="277" t="s">
        <v>54</v>
      </c>
      <c r="D46" s="157"/>
      <c r="E46" s="158"/>
      <c r="F46" s="158"/>
      <c r="G46" s="272" t="str">
        <f t="shared" si="4"/>
        <v/>
      </c>
      <c r="H46" s="263" t="str">
        <f t="shared" si="5"/>
        <v/>
      </c>
      <c r="I46" s="264" t="str">
        <f t="shared" si="6"/>
        <v/>
      </c>
      <c r="J46" s="264" t="str">
        <f t="shared" si="7"/>
        <v/>
      </c>
      <c r="K46" s="265" t="str">
        <f t="shared" si="8"/>
        <v/>
      </c>
      <c r="L46" s="266"/>
      <c r="M46" s="267" t="s">
        <v>101</v>
      </c>
      <c r="N46" s="213">
        <f>Emissions!N39</f>
        <v>6.3179999999999998E-3</v>
      </c>
    </row>
    <row r="47" spans="2:14" x14ac:dyDescent="0.3">
      <c r="B47" s="268" t="s">
        <v>74</v>
      </c>
      <c r="C47" s="269" t="s">
        <v>182</v>
      </c>
      <c r="D47" s="270"/>
      <c r="E47" s="271"/>
      <c r="F47" s="271"/>
      <c r="G47" s="272"/>
      <c r="H47" s="273">
        <f>SUM(H38:H46)</f>
        <v>0</v>
      </c>
      <c r="I47" s="274">
        <f>SUM(I38:I46)</f>
        <v>0</v>
      </c>
      <c r="J47" s="274">
        <f>SUM(J38:J46)</f>
        <v>17.069225000000003</v>
      </c>
      <c r="K47" s="275">
        <f>SUM(K38:K46)</f>
        <v>17.069225000000003</v>
      </c>
      <c r="L47" s="286"/>
      <c r="M47" s="287"/>
      <c r="N47" s="213">
        <f>Emissions!N40</f>
        <v>0</v>
      </c>
    </row>
    <row r="48" spans="2:14" ht="9.75" customHeight="1" x14ac:dyDescent="0.3">
      <c r="B48" s="288"/>
      <c r="C48" s="277"/>
      <c r="D48" s="270"/>
      <c r="E48" s="271"/>
      <c r="F48" s="271"/>
      <c r="G48" s="272"/>
      <c r="H48" s="263"/>
      <c r="I48" s="264"/>
      <c r="J48" s="264"/>
      <c r="K48" s="265"/>
      <c r="L48" s="223"/>
      <c r="M48" s="278"/>
      <c r="N48" s="213">
        <f>Emissions!N41</f>
        <v>0</v>
      </c>
    </row>
    <row r="49" spans="2:14" x14ac:dyDescent="0.3">
      <c r="B49" s="279" t="s">
        <v>173</v>
      </c>
      <c r="C49" s="280"/>
      <c r="D49" s="281"/>
      <c r="E49" s="282"/>
      <c r="F49" s="282"/>
      <c r="G49" s="282"/>
      <c r="H49" s="283"/>
      <c r="I49" s="284"/>
      <c r="J49" s="284"/>
      <c r="K49" s="285"/>
      <c r="L49" s="258"/>
      <c r="M49" s="259"/>
      <c r="N49" s="213">
        <f>Emissions!N42</f>
        <v>0</v>
      </c>
    </row>
    <row r="50" spans="2:14" x14ac:dyDescent="0.3">
      <c r="B50" s="288" t="s">
        <v>77</v>
      </c>
      <c r="C50" s="277" t="s">
        <v>70</v>
      </c>
      <c r="D50" s="157"/>
      <c r="E50" s="158"/>
      <c r="F50" s="158"/>
      <c r="G50" s="272" t="str">
        <f t="shared" ref="G50:G60" si="9">IF(CONCATENATE(D50,E50,F50)="","",SUM(D50:F50))</f>
        <v/>
      </c>
      <c r="H50" s="263" t="str">
        <f t="shared" ref="H50:H60" si="10">IF(D50="","",IF($C50="kg",D50*$N50/1000,D50*$N50))</f>
        <v/>
      </c>
      <c r="I50" s="264" t="str">
        <f t="shared" ref="I50:I60" si="11">IF(E50="","",IF($C50="kg",E50*$N50/1000,E50*$N50))</f>
        <v/>
      </c>
      <c r="J50" s="264" t="str">
        <f t="shared" ref="J50:J60" si="12">IF(F50="","",IF($C50="kg",F50*$N50/1000,F50*$N50))</f>
        <v/>
      </c>
      <c r="K50" s="265" t="str">
        <f t="shared" ref="K50:K60" si="13">IF(CONCATENATE(H50,I50,J50)="","",SUM(H50:J50))</f>
        <v/>
      </c>
      <c r="L50" s="266"/>
      <c r="M50" s="267" t="s">
        <v>97</v>
      </c>
      <c r="N50" s="213">
        <f>Emissions!N43</f>
        <v>2.43621</v>
      </c>
    </row>
    <row r="51" spans="2:14" x14ac:dyDescent="0.3">
      <c r="B51" s="288" t="s">
        <v>60</v>
      </c>
      <c r="C51" s="277" t="s">
        <v>70</v>
      </c>
      <c r="D51" s="157"/>
      <c r="E51" s="158"/>
      <c r="F51" s="158"/>
      <c r="G51" s="272" t="str">
        <f t="shared" si="9"/>
        <v/>
      </c>
      <c r="H51" s="263" t="str">
        <f t="shared" si="10"/>
        <v/>
      </c>
      <c r="I51" s="264" t="str">
        <f t="shared" si="11"/>
        <v/>
      </c>
      <c r="J51" s="264" t="str">
        <f t="shared" si="12"/>
        <v/>
      </c>
      <c r="K51" s="265" t="str">
        <f t="shared" si="13"/>
        <v/>
      </c>
      <c r="L51" s="266"/>
      <c r="M51" s="267" t="s">
        <v>97</v>
      </c>
      <c r="N51" s="213">
        <f>Emissions!N44</f>
        <v>0.95798399999999995</v>
      </c>
    </row>
    <row r="52" spans="2:14" x14ac:dyDescent="0.3">
      <c r="B52" s="288" t="s">
        <v>61</v>
      </c>
      <c r="C52" s="277" t="s">
        <v>70</v>
      </c>
      <c r="D52" s="157"/>
      <c r="E52" s="158"/>
      <c r="F52" s="158"/>
      <c r="G52" s="272" t="str">
        <f t="shared" si="9"/>
        <v/>
      </c>
      <c r="H52" s="263" t="str">
        <f t="shared" si="10"/>
        <v/>
      </c>
      <c r="I52" s="264" t="str">
        <f t="shared" si="11"/>
        <v/>
      </c>
      <c r="J52" s="264" t="str">
        <f t="shared" si="12"/>
        <v/>
      </c>
      <c r="K52" s="265" t="str">
        <f t="shared" si="13"/>
        <v/>
      </c>
      <c r="L52" s="266"/>
      <c r="M52" s="267" t="s">
        <v>97</v>
      </c>
      <c r="N52" s="213">
        <f>Emissions!N45</f>
        <v>2.7605999999999997</v>
      </c>
    </row>
    <row r="53" spans="2:14" x14ac:dyDescent="0.3">
      <c r="B53" s="288" t="s">
        <v>62</v>
      </c>
      <c r="C53" s="277" t="s">
        <v>70</v>
      </c>
      <c r="D53" s="157"/>
      <c r="E53" s="158"/>
      <c r="F53" s="158"/>
      <c r="G53" s="272" t="str">
        <f t="shared" si="9"/>
        <v/>
      </c>
      <c r="H53" s="263" t="str">
        <f t="shared" si="10"/>
        <v/>
      </c>
      <c r="I53" s="264" t="str">
        <f t="shared" si="11"/>
        <v/>
      </c>
      <c r="J53" s="264" t="str">
        <f t="shared" si="12"/>
        <v/>
      </c>
      <c r="K53" s="265" t="str">
        <f t="shared" si="13"/>
        <v/>
      </c>
      <c r="L53" s="266"/>
      <c r="M53" s="267" t="s">
        <v>97</v>
      </c>
      <c r="N53" s="213">
        <f>Emissions!N46</f>
        <v>2.1076770000000002</v>
      </c>
    </row>
    <row r="54" spans="2:14" ht="12.75" customHeight="1" x14ac:dyDescent="0.3">
      <c r="B54" s="288" t="s">
        <v>78</v>
      </c>
      <c r="C54" s="277" t="s">
        <v>70</v>
      </c>
      <c r="D54" s="157"/>
      <c r="E54" s="158"/>
      <c r="F54" s="158"/>
      <c r="G54" s="272" t="str">
        <f t="shared" si="9"/>
        <v/>
      </c>
      <c r="H54" s="263" t="str">
        <f t="shared" si="10"/>
        <v/>
      </c>
      <c r="I54" s="264" t="str">
        <f t="shared" si="11"/>
        <v/>
      </c>
      <c r="J54" s="264" t="str">
        <f t="shared" si="12"/>
        <v/>
      </c>
      <c r="K54" s="265" t="str">
        <f t="shared" si="13"/>
        <v/>
      </c>
      <c r="L54" s="266"/>
      <c r="M54" s="267" t="s">
        <v>97</v>
      </c>
      <c r="N54" s="213">
        <f>Emissions!N47</f>
        <v>2.1518660000000001</v>
      </c>
    </row>
    <row r="55" spans="2:14" x14ac:dyDescent="0.3">
      <c r="B55" s="288" t="s">
        <v>79</v>
      </c>
      <c r="C55" s="277" t="s">
        <v>70</v>
      </c>
      <c r="D55" s="157"/>
      <c r="E55" s="158"/>
      <c r="F55" s="158"/>
      <c r="G55" s="272" t="str">
        <f t="shared" si="9"/>
        <v/>
      </c>
      <c r="H55" s="263" t="str">
        <f t="shared" si="10"/>
        <v/>
      </c>
      <c r="I55" s="264" t="str">
        <f t="shared" si="11"/>
        <v/>
      </c>
      <c r="J55" s="264" t="str">
        <f t="shared" si="12"/>
        <v/>
      </c>
      <c r="K55" s="265" t="str">
        <f t="shared" si="13"/>
        <v/>
      </c>
      <c r="L55" s="266"/>
      <c r="M55" s="267" t="s">
        <v>97</v>
      </c>
      <c r="N55" s="213">
        <f>Emissions!N48</f>
        <v>0.93344999999999989</v>
      </c>
    </row>
    <row r="56" spans="2:14" x14ac:dyDescent="0.3">
      <c r="B56" s="288" t="s">
        <v>80</v>
      </c>
      <c r="C56" s="277" t="s">
        <v>70</v>
      </c>
      <c r="D56" s="157"/>
      <c r="E56" s="158"/>
      <c r="F56" s="158"/>
      <c r="G56" s="272" t="str">
        <f t="shared" si="9"/>
        <v/>
      </c>
      <c r="H56" s="263" t="str">
        <f t="shared" si="10"/>
        <v/>
      </c>
      <c r="I56" s="264" t="str">
        <f t="shared" si="11"/>
        <v/>
      </c>
      <c r="J56" s="264" t="str">
        <f t="shared" si="12"/>
        <v/>
      </c>
      <c r="K56" s="265" t="str">
        <f t="shared" si="13"/>
        <v/>
      </c>
      <c r="L56" s="266"/>
      <c r="M56" s="267" t="s">
        <v>97</v>
      </c>
      <c r="N56" s="213">
        <f>Emissions!N49</f>
        <v>2.196E-2</v>
      </c>
    </row>
    <row r="57" spans="2:14" x14ac:dyDescent="0.3">
      <c r="B57" s="288" t="s">
        <v>81</v>
      </c>
      <c r="C57" s="277" t="s">
        <v>70</v>
      </c>
      <c r="D57" s="157"/>
      <c r="E57" s="158"/>
      <c r="F57" s="158">
        <v>55</v>
      </c>
      <c r="G57" s="272">
        <f t="shared" si="9"/>
        <v>55</v>
      </c>
      <c r="H57" s="263" t="str">
        <f t="shared" si="10"/>
        <v/>
      </c>
      <c r="I57" s="264" t="str">
        <f t="shared" si="11"/>
        <v/>
      </c>
      <c r="J57" s="264">
        <f t="shared" si="12"/>
        <v>1.1582999999999999</v>
      </c>
      <c r="K57" s="265">
        <f t="shared" si="13"/>
        <v>1.1582999999999999</v>
      </c>
      <c r="L57" s="266"/>
      <c r="M57" s="267" t="s">
        <v>97</v>
      </c>
      <c r="N57" s="213">
        <f>Emissions!N50</f>
        <v>2.1059999999999999E-2</v>
      </c>
    </row>
    <row r="58" spans="2:14" x14ac:dyDescent="0.3">
      <c r="B58" s="288" t="s">
        <v>82</v>
      </c>
      <c r="C58" s="277" t="s">
        <v>70</v>
      </c>
      <c r="D58" s="157"/>
      <c r="E58" s="158"/>
      <c r="F58" s="158"/>
      <c r="G58" s="272" t="str">
        <f t="shared" si="9"/>
        <v/>
      </c>
      <c r="H58" s="263" t="str">
        <f t="shared" si="10"/>
        <v/>
      </c>
      <c r="I58" s="264" t="str">
        <f t="shared" si="11"/>
        <v/>
      </c>
      <c r="J58" s="264" t="str">
        <f t="shared" si="12"/>
        <v/>
      </c>
      <c r="K58" s="265" t="str">
        <f t="shared" si="13"/>
        <v/>
      </c>
      <c r="L58" s="266"/>
      <c r="M58" s="267" t="s">
        <v>97</v>
      </c>
      <c r="N58" s="213">
        <f>Emissions!N51</f>
        <v>1.3520000000000001E-2</v>
      </c>
    </row>
    <row r="59" spans="2:14" x14ac:dyDescent="0.3">
      <c r="B59" s="288" t="s">
        <v>63</v>
      </c>
      <c r="C59" s="277" t="s">
        <v>70</v>
      </c>
      <c r="D59" s="157"/>
      <c r="E59" s="158"/>
      <c r="F59" s="158"/>
      <c r="G59" s="272" t="str">
        <f t="shared" si="9"/>
        <v/>
      </c>
      <c r="H59" s="263" t="str">
        <f t="shared" si="10"/>
        <v/>
      </c>
      <c r="I59" s="264" t="str">
        <f t="shared" si="11"/>
        <v/>
      </c>
      <c r="J59" s="264" t="str">
        <f t="shared" si="12"/>
        <v/>
      </c>
      <c r="K59" s="265" t="str">
        <f t="shared" si="13"/>
        <v/>
      </c>
      <c r="L59" s="266"/>
      <c r="M59" s="267" t="s">
        <v>97</v>
      </c>
      <c r="N59" s="213">
        <f>Emissions!N52</f>
        <v>1.3439999999999999E-2</v>
      </c>
    </row>
    <row r="60" spans="2:14" x14ac:dyDescent="0.3">
      <c r="B60" s="288" t="s">
        <v>64</v>
      </c>
      <c r="C60" s="277" t="s">
        <v>70</v>
      </c>
      <c r="D60" s="157"/>
      <c r="E60" s="158"/>
      <c r="F60" s="158"/>
      <c r="G60" s="272" t="str">
        <f t="shared" si="9"/>
        <v/>
      </c>
      <c r="H60" s="263" t="str">
        <f t="shared" si="10"/>
        <v/>
      </c>
      <c r="I60" s="264" t="str">
        <f t="shared" si="11"/>
        <v/>
      </c>
      <c r="J60" s="264" t="str">
        <f t="shared" si="12"/>
        <v/>
      </c>
      <c r="K60" s="265" t="str">
        <f t="shared" si="13"/>
        <v/>
      </c>
      <c r="L60" s="266"/>
      <c r="M60" s="267" t="s">
        <v>97</v>
      </c>
      <c r="N60" s="213">
        <f>Emissions!N53</f>
        <v>0.18349000000000001</v>
      </c>
    </row>
    <row r="61" spans="2:14" x14ac:dyDescent="0.3">
      <c r="B61" s="268" t="s">
        <v>74</v>
      </c>
      <c r="C61" s="269" t="s">
        <v>182</v>
      </c>
      <c r="D61" s="270"/>
      <c r="E61" s="271"/>
      <c r="F61" s="271"/>
      <c r="G61" s="272"/>
      <c r="H61" s="273">
        <f>SUM(H50:H60)</f>
        <v>0</v>
      </c>
      <c r="I61" s="274">
        <f>SUM(I50:I60)</f>
        <v>0</v>
      </c>
      <c r="J61" s="274">
        <f>SUM(J50:J60)</f>
        <v>1.1582999999999999</v>
      </c>
      <c r="K61" s="275">
        <f>SUM(K50:K60)</f>
        <v>1.1582999999999999</v>
      </c>
      <c r="L61" s="286"/>
      <c r="M61" s="287"/>
      <c r="N61" s="213">
        <f>Emissions!N54</f>
        <v>0</v>
      </c>
    </row>
    <row r="62" spans="2:14" ht="9.75" customHeight="1" x14ac:dyDescent="0.3">
      <c r="B62" s="288"/>
      <c r="C62" s="277"/>
      <c r="D62" s="270"/>
      <c r="E62" s="271"/>
      <c r="F62" s="271"/>
      <c r="G62" s="272"/>
      <c r="H62" s="263"/>
      <c r="I62" s="264"/>
      <c r="J62" s="264"/>
      <c r="K62" s="265"/>
      <c r="L62" s="223"/>
      <c r="M62" s="278"/>
      <c r="N62" s="213">
        <f>Emissions!N55</f>
        <v>0</v>
      </c>
    </row>
    <row r="63" spans="2:14" x14ac:dyDescent="0.3">
      <c r="B63" s="279" t="s">
        <v>174</v>
      </c>
      <c r="C63" s="280"/>
      <c r="D63" s="281"/>
      <c r="E63" s="282"/>
      <c r="F63" s="282"/>
      <c r="G63" s="282"/>
      <c r="H63" s="283"/>
      <c r="I63" s="284"/>
      <c r="J63" s="284"/>
      <c r="K63" s="285"/>
      <c r="L63" s="258"/>
      <c r="M63" s="259"/>
      <c r="N63" s="213">
        <f>Emissions!N56</f>
        <v>0</v>
      </c>
    </row>
    <row r="64" spans="2:14" ht="15.6" x14ac:dyDescent="0.3">
      <c r="B64" s="288" t="s">
        <v>83</v>
      </c>
      <c r="C64" s="277" t="s">
        <v>72</v>
      </c>
      <c r="D64" s="157"/>
      <c r="E64" s="158"/>
      <c r="F64" s="158"/>
      <c r="G64" s="272" t="str">
        <f>IF(CONCATENATE(D64,E64,F64)="","",SUM(D64:F64))</f>
        <v/>
      </c>
      <c r="H64" s="263" t="str">
        <f t="shared" ref="H64:J66" si="14">IF(D64="","",D64*$N64)</f>
        <v/>
      </c>
      <c r="I64" s="264" t="str">
        <f t="shared" si="14"/>
        <v/>
      </c>
      <c r="J64" s="264" t="str">
        <f t="shared" si="14"/>
        <v/>
      </c>
      <c r="K64" s="265" t="str">
        <f>IF(CONCATENATE(H64,I64,J64)="","",SUM(H64:J64))</f>
        <v/>
      </c>
      <c r="L64" s="266"/>
      <c r="M64" s="267" t="s">
        <v>98</v>
      </c>
      <c r="N64" s="213">
        <f>Emissions!N57</f>
        <v>1.9464509999999999E-3</v>
      </c>
    </row>
    <row r="65" spans="2:14" ht="15.6" x14ac:dyDescent="0.3">
      <c r="B65" s="288" t="s">
        <v>84</v>
      </c>
      <c r="C65" s="277" t="s">
        <v>72</v>
      </c>
      <c r="D65" s="157"/>
      <c r="E65" s="158"/>
      <c r="F65" s="158"/>
      <c r="G65" s="272" t="str">
        <f>IF(CONCATENATE(D65,E65,F65)="","",SUM(D65:F65))</f>
        <v/>
      </c>
      <c r="H65" s="263" t="str">
        <f t="shared" si="14"/>
        <v/>
      </c>
      <c r="I65" s="264" t="str">
        <f t="shared" si="14"/>
        <v/>
      </c>
      <c r="J65" s="264" t="str">
        <f t="shared" si="14"/>
        <v/>
      </c>
      <c r="K65" s="265" t="str">
        <f>IF(CONCATENATE(H65,I65,J65)="","",SUM(H65:J65))</f>
        <v/>
      </c>
      <c r="L65" s="266"/>
      <c r="M65" s="267" t="s">
        <v>98</v>
      </c>
      <c r="N65" s="213">
        <f>Emissions!N58</f>
        <v>2.1123309999999998E-3</v>
      </c>
    </row>
    <row r="66" spans="2:14" ht="15.6" x14ac:dyDescent="0.3">
      <c r="B66" s="288" t="s">
        <v>65</v>
      </c>
      <c r="C66" s="277" t="s">
        <v>72</v>
      </c>
      <c r="D66" s="157">
        <v>125</v>
      </c>
      <c r="E66" s="158">
        <v>335</v>
      </c>
      <c r="F66" s="158">
        <v>540</v>
      </c>
      <c r="G66" s="272">
        <f>IF(CONCATENATE(D66,E66,F66)="","",SUM(D66:F66))</f>
        <v>1000</v>
      </c>
      <c r="H66" s="263">
        <f t="shared" si="14"/>
        <v>0.29362125</v>
      </c>
      <c r="I66" s="264">
        <f t="shared" si="14"/>
        <v>0.78690495000000005</v>
      </c>
      <c r="J66" s="264">
        <f t="shared" si="14"/>
        <v>1.2684438</v>
      </c>
      <c r="K66" s="265">
        <f>IF(CONCATENATE(H66,I66,J66)="","",SUM(H66:J66))</f>
        <v>2.34897</v>
      </c>
      <c r="L66" s="266"/>
      <c r="M66" s="267" t="s">
        <v>98</v>
      </c>
      <c r="N66" s="213">
        <f>Emissions!N59</f>
        <v>2.3489700000000001E-3</v>
      </c>
    </row>
    <row r="67" spans="2:14" x14ac:dyDescent="0.3">
      <c r="B67" s="288" t="s">
        <v>66</v>
      </c>
      <c r="C67" s="277" t="s">
        <v>54</v>
      </c>
      <c r="D67" s="157"/>
      <c r="E67" s="158"/>
      <c r="F67" s="158"/>
      <c r="G67" s="272" t="str">
        <f>IF(CONCATENATE(D67,E67,F67)="","",SUM(D67:F67))</f>
        <v/>
      </c>
      <c r="H67" s="263" t="str">
        <f>IF(D67="","",IF($C67="L",D67*$N67/1000,D67*$N67))</f>
        <v/>
      </c>
      <c r="I67" s="264" t="str">
        <f>IF(E67="","",IF($C67="L",E67*$N67/1000,E67*$N67))</f>
        <v/>
      </c>
      <c r="J67" s="264" t="str">
        <f>IF(F67="","",IF($C67="L",F67*$N67/1000,F67*$N67))</f>
        <v/>
      </c>
      <c r="K67" s="265" t="str">
        <f>IF(CONCATENATE(H67,I67,J67)="","",SUM(H67:J67))</f>
        <v/>
      </c>
      <c r="L67" s="266"/>
      <c r="M67" s="267" t="s">
        <v>98</v>
      </c>
      <c r="N67" s="213">
        <f>Emissions!N60</f>
        <v>1.303709</v>
      </c>
    </row>
    <row r="68" spans="2:14" ht="15.6" x14ac:dyDescent="0.3">
      <c r="B68" s="288" t="s">
        <v>85</v>
      </c>
      <c r="C68" s="277" t="s">
        <v>72</v>
      </c>
      <c r="D68" s="157"/>
      <c r="E68" s="158"/>
      <c r="F68" s="158"/>
      <c r="G68" s="272" t="str">
        <f>IF(CONCATENATE(D68,E68,F68)="","",SUM(D68:F68))</f>
        <v/>
      </c>
      <c r="H68" s="263" t="str">
        <f>IF(D68="","",D68*$N68)</f>
        <v/>
      </c>
      <c r="I68" s="264" t="str">
        <f>IF(E68="","",E68*$N68)</f>
        <v/>
      </c>
      <c r="J68" s="264" t="str">
        <f>IF(F68="","",F68*$N68)</f>
        <v/>
      </c>
      <c r="K68" s="265" t="str">
        <f>IF(CONCATENATE(H68,I68,J68)="","",SUM(H68:J68))</f>
        <v/>
      </c>
      <c r="L68" s="266"/>
      <c r="M68" s="267" t="s">
        <v>98</v>
      </c>
      <c r="N68" s="213">
        <f>Emissions!N61</f>
        <v>1.82091E-4</v>
      </c>
    </row>
    <row r="69" spans="2:14" x14ac:dyDescent="0.3">
      <c r="B69" s="268" t="s">
        <v>74</v>
      </c>
      <c r="C69" s="269" t="s">
        <v>182</v>
      </c>
      <c r="D69" s="270"/>
      <c r="E69" s="271"/>
      <c r="F69" s="271"/>
      <c r="G69" s="272"/>
      <c r="H69" s="273">
        <f>SUM(H64:H68)</f>
        <v>0.29362125</v>
      </c>
      <c r="I69" s="274">
        <f>SUM(I64:I68)</f>
        <v>0.78690495000000005</v>
      </c>
      <c r="J69" s="274">
        <f>SUM(J64:J68)</f>
        <v>1.2684438</v>
      </c>
      <c r="K69" s="275">
        <f>SUM(K64:K68)</f>
        <v>2.34897</v>
      </c>
      <c r="L69" s="286"/>
      <c r="M69" s="287"/>
    </row>
    <row r="70" spans="2:14" ht="9.75" customHeight="1" x14ac:dyDescent="0.3">
      <c r="B70" s="288"/>
      <c r="C70" s="277"/>
      <c r="D70" s="270"/>
      <c r="E70" s="271"/>
      <c r="F70" s="271"/>
      <c r="G70" s="272"/>
      <c r="H70" s="263"/>
      <c r="I70" s="264"/>
      <c r="J70" s="264"/>
      <c r="K70" s="265"/>
      <c r="L70" s="223"/>
      <c r="M70" s="278"/>
    </row>
    <row r="71" spans="2:14" x14ac:dyDescent="0.3">
      <c r="B71" s="279" t="s">
        <v>175</v>
      </c>
      <c r="C71" s="280"/>
      <c r="D71" s="281"/>
      <c r="E71" s="282"/>
      <c r="F71" s="282"/>
      <c r="G71" s="282"/>
      <c r="H71" s="283"/>
      <c r="I71" s="284"/>
      <c r="J71" s="284"/>
      <c r="K71" s="285"/>
      <c r="L71" s="258"/>
      <c r="M71" s="259"/>
    </row>
    <row r="72" spans="2:14" x14ac:dyDescent="0.3">
      <c r="B72" s="289" t="s">
        <v>392</v>
      </c>
      <c r="C72" s="277" t="s">
        <v>70</v>
      </c>
      <c r="D72" s="270"/>
      <c r="E72" s="290"/>
      <c r="F72" s="271"/>
      <c r="G72" s="272" t="str">
        <f>IF(CONCATENATE(D72,E72,F72)="","",SUM(D72:F72))</f>
        <v/>
      </c>
      <c r="H72" s="263"/>
      <c r="I72" s="159">
        <v>1160</v>
      </c>
      <c r="J72" s="264"/>
      <c r="K72" s="265">
        <f>IF(CONCATENATE(H72,I72,J72)="","",SUM(H72:J72))</f>
        <v>1160</v>
      </c>
      <c r="L72" s="266"/>
      <c r="M72" s="267"/>
    </row>
    <row r="73" spans="2:14" x14ac:dyDescent="0.3">
      <c r="B73" s="268" t="s">
        <v>74</v>
      </c>
      <c r="C73" s="269" t="s">
        <v>182</v>
      </c>
      <c r="D73" s="270"/>
      <c r="E73" s="290"/>
      <c r="F73" s="271"/>
      <c r="G73" s="272"/>
      <c r="H73" s="273"/>
      <c r="I73" s="274">
        <f>SUM(I72)</f>
        <v>1160</v>
      </c>
      <c r="J73" s="274"/>
      <c r="K73" s="275">
        <f>SUM(K72)</f>
        <v>1160</v>
      </c>
      <c r="L73" s="286"/>
      <c r="M73" s="287"/>
    </row>
    <row r="74" spans="2:14" ht="9" customHeight="1" x14ac:dyDescent="0.3">
      <c r="B74" s="288"/>
      <c r="C74" s="277"/>
      <c r="D74" s="270"/>
      <c r="E74" s="290"/>
      <c r="F74" s="271"/>
      <c r="G74" s="272" t="str">
        <f>IF(CONCATENATE(D74,E74,F74)="","",SUM(D74:F74))</f>
        <v/>
      </c>
      <c r="H74" s="263" t="str">
        <f>IF(D74="","",D74*$N74)</f>
        <v/>
      </c>
      <c r="I74" s="264" t="str">
        <f>IF(E74="","",E74*$N74)</f>
        <v/>
      </c>
      <c r="J74" s="264" t="str">
        <f>IF(F74="","",F74*$N74)</f>
        <v/>
      </c>
      <c r="K74" s="265" t="str">
        <f>IF(CONCATENATE(H74,I74,J74)="","",SUM(H74:J74))</f>
        <v/>
      </c>
      <c r="L74" s="266"/>
      <c r="M74" s="267"/>
    </row>
    <row r="75" spans="2:14" x14ac:dyDescent="0.3">
      <c r="B75" s="279" t="s">
        <v>75</v>
      </c>
      <c r="C75" s="280"/>
      <c r="D75" s="281"/>
      <c r="E75" s="282"/>
      <c r="F75" s="282"/>
      <c r="G75" s="282"/>
      <c r="H75" s="283"/>
      <c r="I75" s="284"/>
      <c r="J75" s="284"/>
      <c r="K75" s="285"/>
      <c r="L75" s="258"/>
      <c r="M75" s="259"/>
    </row>
    <row r="76" spans="2:14" x14ac:dyDescent="0.3">
      <c r="B76" s="288" t="s">
        <v>76</v>
      </c>
      <c r="C76" s="277" t="s">
        <v>70</v>
      </c>
      <c r="D76" s="270"/>
      <c r="E76" s="271"/>
      <c r="F76" s="158">
        <v>-45</v>
      </c>
      <c r="G76" s="272">
        <f>IF(CONCATENATE(D76,E76,F76)="","",SUM(D76:F76))</f>
        <v>-45</v>
      </c>
      <c r="H76" s="263"/>
      <c r="I76" s="264"/>
      <c r="J76" s="264">
        <f>IF(F76="","",IF($C76="kg",F76*$N76/1000,F76*$N76))</f>
        <v>-165.15</v>
      </c>
      <c r="K76" s="265">
        <f>IF(CONCATENATE(H76,I76,J76)="","",SUM(H76:J76))</f>
        <v>-165.15</v>
      </c>
      <c r="L76" s="266"/>
      <c r="M76" s="267"/>
      <c r="N76" s="213">
        <f>Emissions!N78</f>
        <v>3.67</v>
      </c>
    </row>
    <row r="77" spans="2:14" x14ac:dyDescent="0.3">
      <c r="B77" s="268" t="s">
        <v>74</v>
      </c>
      <c r="C77" s="269" t="s">
        <v>182</v>
      </c>
      <c r="D77" s="270"/>
      <c r="E77" s="271"/>
      <c r="F77" s="271"/>
      <c r="G77" s="272"/>
      <c r="H77" s="273"/>
      <c r="I77" s="274"/>
      <c r="J77" s="274">
        <f>SUM(J76:J76)</f>
        <v>-165.15</v>
      </c>
      <c r="K77" s="275">
        <f>SUM(K76:K76)</f>
        <v>-165.15</v>
      </c>
      <c r="L77" s="286"/>
      <c r="M77" s="287"/>
    </row>
    <row r="78" spans="2:14" ht="7.5" customHeight="1" x14ac:dyDescent="0.3">
      <c r="B78" s="288"/>
      <c r="C78" s="277"/>
      <c r="D78" s="270"/>
      <c r="E78" s="271"/>
      <c r="F78" s="271"/>
      <c r="G78" s="272"/>
      <c r="H78" s="263"/>
      <c r="I78" s="264"/>
      <c r="J78" s="264"/>
      <c r="K78" s="265"/>
      <c r="L78" s="223"/>
      <c r="M78" s="278"/>
    </row>
    <row r="79" spans="2:14" x14ac:dyDescent="0.3">
      <c r="B79" s="346" t="s">
        <v>120</v>
      </c>
      <c r="C79" s="339"/>
      <c r="D79" s="340"/>
      <c r="E79" s="341"/>
      <c r="F79" s="341"/>
      <c r="G79" s="342"/>
      <c r="H79" s="343"/>
      <c r="I79" s="344"/>
      <c r="J79" s="344"/>
      <c r="K79" s="345"/>
      <c r="L79" s="223"/>
      <c r="M79" s="278"/>
    </row>
    <row r="80" spans="2:14" ht="14.4" thickBot="1" x14ac:dyDescent="0.35">
      <c r="B80" s="291" t="s">
        <v>120</v>
      </c>
      <c r="C80" s="292" t="s">
        <v>182</v>
      </c>
      <c r="D80" s="293"/>
      <c r="E80" s="294"/>
      <c r="F80" s="294"/>
      <c r="G80" s="295"/>
      <c r="H80" s="296">
        <f>H24+H35+H47+H61+H69</f>
        <v>193.77881124999999</v>
      </c>
      <c r="I80" s="297">
        <f>I24+I35+I47+I61+I69+I73</f>
        <v>1451.01468995</v>
      </c>
      <c r="J80" s="297">
        <f>J24+J35+J47+J61+J69+J77</f>
        <v>7.9029337999999996</v>
      </c>
      <c r="K80" s="298">
        <f>K24+K35+K47+K61+K69+K73+K77</f>
        <v>1652.6964349999998</v>
      </c>
      <c r="L80" s="286"/>
      <c r="M80" s="287"/>
    </row>
    <row r="81" spans="2:13" ht="8.25" customHeight="1" x14ac:dyDescent="0.3">
      <c r="B81" s="299"/>
      <c r="C81" s="223"/>
      <c r="D81" s="266"/>
      <c r="E81" s="266"/>
      <c r="F81" s="266"/>
      <c r="G81" s="286"/>
      <c r="H81" s="286"/>
      <c r="I81" s="286"/>
      <c r="J81" s="286"/>
      <c r="K81" s="286"/>
      <c r="L81" s="286"/>
      <c r="M81" s="287"/>
    </row>
    <row r="82" spans="2:13" x14ac:dyDescent="0.3">
      <c r="B82" s="214" t="s">
        <v>170</v>
      </c>
    </row>
    <row r="87" spans="2:13" x14ac:dyDescent="0.3">
      <c r="F87" s="232"/>
    </row>
    <row r="88" spans="2:13" x14ac:dyDescent="0.3">
      <c r="E88" s="300"/>
      <c r="F88" s="232"/>
    </row>
    <row r="89" spans="2:13" x14ac:dyDescent="0.3">
      <c r="E89" s="300"/>
      <c r="F89" s="232"/>
    </row>
    <row r="90" spans="2:13" x14ac:dyDescent="0.3">
      <c r="E90" s="300"/>
      <c r="F90" s="232"/>
    </row>
    <row r="91" spans="2:13" x14ac:dyDescent="0.3">
      <c r="E91" s="300"/>
      <c r="F91" s="232"/>
    </row>
    <row r="92" spans="2:13" x14ac:dyDescent="0.3">
      <c r="E92" s="300"/>
      <c r="F92" s="232"/>
    </row>
    <row r="93" spans="2:13" x14ac:dyDescent="0.3">
      <c r="E93" s="300"/>
      <c r="F93" s="232"/>
    </row>
    <row r="94" spans="2:13" x14ac:dyDescent="0.3">
      <c r="E94" s="300"/>
      <c r="F94" s="232"/>
    </row>
    <row r="95" spans="2:13" x14ac:dyDescent="0.3">
      <c r="E95" s="300"/>
      <c r="F95" s="232"/>
    </row>
    <row r="96" spans="2:13" x14ac:dyDescent="0.3">
      <c r="E96" s="300"/>
      <c r="F96" s="232"/>
    </row>
    <row r="97" spans="5:6" x14ac:dyDescent="0.3">
      <c r="E97" s="300"/>
      <c r="F97" s="232"/>
    </row>
    <row r="98" spans="5:6" x14ac:dyDescent="0.3">
      <c r="E98" s="300"/>
      <c r="F98" s="232"/>
    </row>
    <row r="99" spans="5:6" x14ac:dyDescent="0.3">
      <c r="E99" s="300"/>
      <c r="F99" s="232"/>
    </row>
    <row r="100" spans="5:6" x14ac:dyDescent="0.3">
      <c r="E100" s="300"/>
      <c r="F100" s="232"/>
    </row>
    <row r="101" spans="5:6" x14ac:dyDescent="0.3">
      <c r="E101" s="300"/>
      <c r="F101" s="232"/>
    </row>
    <row r="102" spans="5:6" x14ac:dyDescent="0.3">
      <c r="F102" s="232"/>
    </row>
    <row r="103" spans="5:6" x14ac:dyDescent="0.3">
      <c r="F103" s="232"/>
    </row>
    <row r="104" spans="5:6" x14ac:dyDescent="0.3">
      <c r="F104" s="232"/>
    </row>
    <row r="105" spans="5:6" x14ac:dyDescent="0.3">
      <c r="F105" s="232"/>
    </row>
  </sheetData>
  <sheetProtection selectLockedCells="1"/>
  <mergeCells count="5">
    <mergeCell ref="G1:K1"/>
    <mergeCell ref="H17:K17"/>
    <mergeCell ref="D17:G17"/>
    <mergeCell ref="B17:B19"/>
    <mergeCell ref="C17:C19"/>
  </mergeCells>
  <phoneticPr fontId="2" type="noConversion"/>
  <dataValidations disablePrompts="1" count="2">
    <dataValidation type="list" allowBlank="1" showInputMessage="1" showErrorMessage="1" sqref="C76 C50:C60">
      <formula1>"kg,t"</formula1>
    </dataValidation>
    <dataValidation type="list" allowBlank="1" showInputMessage="1" showErrorMessage="1" sqref="C67 C27:C34 C38:C46">
      <formula1>"L,kL"</formula1>
    </dataValidation>
  </dataValidations>
  <pageMargins left="0.17" right="0.28000000000000003" top="0.5" bottom="0.49" header="0.5" footer="0.5"/>
  <pageSetup paperSize="9" scale="65" orientation="portrait" r:id="rId1"/>
  <headerFooter alignWithMargins="0">
    <oddFooter>&amp;C&amp;12Example</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W183"/>
  <sheetViews>
    <sheetView view="pageBreakPreview" topLeftCell="A16" zoomScaleNormal="100" workbookViewId="0">
      <selection activeCell="L100" sqref="L100"/>
    </sheetView>
  </sheetViews>
  <sheetFormatPr defaultColWidth="9.109375" defaultRowHeight="13.8" x14ac:dyDescent="0.3"/>
  <cols>
    <col min="1" max="1" width="3.88671875" style="28" customWidth="1"/>
    <col min="2" max="2" width="11" style="28" customWidth="1"/>
    <col min="3" max="3" width="13" style="28" customWidth="1"/>
    <col min="4" max="4" width="10.5546875" style="3" customWidth="1"/>
    <col min="5" max="5" width="5.109375" style="3" customWidth="1"/>
    <col min="6" max="6" width="6.44140625" style="3" customWidth="1"/>
    <col min="7" max="7" width="6.6640625" style="3" customWidth="1"/>
    <col min="8" max="8" width="6.5546875" style="3" customWidth="1"/>
    <col min="9" max="9" width="9.109375" style="3"/>
    <col min="10" max="10" width="10.33203125" style="3" customWidth="1"/>
    <col min="11" max="11" width="10.5546875" style="3" customWidth="1"/>
    <col min="12" max="12" width="9.109375" style="3"/>
    <col min="13" max="13" width="1" style="3" customWidth="1"/>
    <col min="14" max="14" width="8.33203125" style="3" customWidth="1"/>
    <col min="15" max="16" width="6" style="3" customWidth="1"/>
    <col min="17" max="17" width="7.88671875" style="3" customWidth="1"/>
    <col min="18" max="18" width="7.44140625" style="3" customWidth="1"/>
    <col min="19" max="19" width="7.109375" style="3" customWidth="1"/>
    <col min="20" max="20" width="9.109375" style="3"/>
    <col min="21" max="21" width="10.88671875" style="3" bestFit="1" customWidth="1"/>
    <col min="22" max="16384" width="9.109375" style="3"/>
  </cols>
  <sheetData>
    <row r="1" spans="1:21" ht="18" x14ac:dyDescent="0.35">
      <c r="A1" s="113" t="s">
        <v>560</v>
      </c>
      <c r="B1" s="114"/>
      <c r="C1" s="114"/>
      <c r="D1" s="40"/>
      <c r="E1" s="40"/>
      <c r="F1" s="40"/>
      <c r="G1" s="40"/>
      <c r="H1" s="40"/>
      <c r="I1" s="40"/>
      <c r="J1" s="40"/>
      <c r="K1" s="40"/>
      <c r="L1" s="40"/>
      <c r="M1" s="40"/>
      <c r="N1" s="40"/>
      <c r="O1" s="40"/>
      <c r="P1" s="40"/>
    </row>
    <row r="2" spans="1:21" ht="3.75" customHeight="1" x14ac:dyDescent="0.3"/>
    <row r="3" spans="1:21" ht="20.25" customHeight="1" x14ac:dyDescent="0.3">
      <c r="B3" s="177"/>
      <c r="C3" s="699" t="s">
        <v>304</v>
      </c>
      <c r="D3" s="700"/>
      <c r="E3" s="700"/>
      <c r="F3" s="700"/>
      <c r="G3" s="700"/>
      <c r="H3" s="700"/>
      <c r="I3" s="700"/>
      <c r="J3" s="700"/>
      <c r="K3" s="700"/>
      <c r="L3" s="700"/>
      <c r="M3" s="700"/>
      <c r="N3" s="701"/>
    </row>
    <row r="4" spans="1:21" ht="15.75" customHeight="1" x14ac:dyDescent="0.3">
      <c r="C4" s="702" t="s">
        <v>461</v>
      </c>
      <c r="D4" s="703"/>
      <c r="E4" s="703"/>
      <c r="F4" s="703"/>
      <c r="G4" s="703"/>
      <c r="H4" s="703"/>
      <c r="I4" s="703"/>
      <c r="J4" s="703"/>
      <c r="K4" s="703"/>
      <c r="L4" s="703"/>
      <c r="M4" s="703"/>
      <c r="N4" s="704"/>
    </row>
    <row r="5" spans="1:21" ht="12.75" customHeight="1" x14ac:dyDescent="0.3">
      <c r="A5" s="28" t="s">
        <v>208</v>
      </c>
      <c r="B5" s="200"/>
      <c r="C5" s="366"/>
      <c r="D5" s="366"/>
      <c r="E5" s="366"/>
      <c r="F5" s="366"/>
      <c r="G5" s="366"/>
      <c r="H5" s="366"/>
      <c r="I5" s="366"/>
      <c r="J5" s="366"/>
      <c r="K5" s="366"/>
      <c r="L5" s="366"/>
      <c r="M5" s="366"/>
      <c r="N5" s="366"/>
      <c r="O5" s="40"/>
    </row>
    <row r="6" spans="1:21" ht="12.75" customHeight="1" x14ac:dyDescent="0.3">
      <c r="B6" s="332"/>
      <c r="C6" s="40" t="s">
        <v>505</v>
      </c>
    </row>
    <row r="7" spans="1:21" ht="3.75" customHeight="1" x14ac:dyDescent="0.3">
      <c r="B7" s="367"/>
      <c r="C7" s="40"/>
    </row>
    <row r="8" spans="1:21" ht="12.75" customHeight="1" x14ac:dyDescent="0.3">
      <c r="B8" s="330"/>
      <c r="C8" s="40" t="s">
        <v>460</v>
      </c>
    </row>
    <row r="9" spans="1:21" ht="12.75" customHeight="1" x14ac:dyDescent="0.3">
      <c r="B9" s="3"/>
      <c r="C9" s="3" t="s">
        <v>506</v>
      </c>
    </row>
    <row r="10" spans="1:21" ht="6" customHeight="1" thickBot="1" x14ac:dyDescent="0.35">
      <c r="A10" s="195"/>
      <c r="B10" s="364"/>
      <c r="C10" s="196"/>
      <c r="D10" s="198"/>
      <c r="E10" s="198"/>
      <c r="F10" s="197"/>
      <c r="G10" s="197"/>
      <c r="H10" s="197"/>
      <c r="I10" s="197"/>
      <c r="J10" s="197"/>
      <c r="K10" s="198"/>
      <c r="L10" s="198"/>
      <c r="M10" s="198"/>
      <c r="N10" s="198"/>
      <c r="O10" s="198"/>
    </row>
    <row r="11" spans="1:21" ht="6" customHeight="1" x14ac:dyDescent="0.3">
      <c r="A11" s="493"/>
      <c r="B11" s="494"/>
      <c r="C11" s="495"/>
      <c r="D11" s="108"/>
      <c r="E11" s="108"/>
      <c r="F11" s="204"/>
      <c r="G11" s="204"/>
      <c r="H11" s="204"/>
      <c r="I11" s="204"/>
      <c r="J11" s="204"/>
      <c r="K11" s="108"/>
      <c r="L11" s="108"/>
      <c r="M11" s="108"/>
      <c r="N11" s="108"/>
      <c r="O11" s="108"/>
    </row>
    <row r="12" spans="1:21" ht="12.75" customHeight="1" x14ac:dyDescent="0.3">
      <c r="A12" s="351" t="s">
        <v>435</v>
      </c>
      <c r="B12" s="26"/>
      <c r="D12" s="27"/>
      <c r="E12" s="27"/>
      <c r="F12" s="27"/>
      <c r="G12" s="27"/>
      <c r="H12" s="27"/>
      <c r="I12" s="27"/>
      <c r="J12" s="27"/>
      <c r="K12" s="27"/>
      <c r="L12" s="328" t="s">
        <v>188</v>
      </c>
      <c r="M12" s="329"/>
      <c r="N12" s="328" t="s">
        <v>189</v>
      </c>
      <c r="O12" s="27"/>
      <c r="P12" s="27"/>
      <c r="Q12"/>
      <c r="R12"/>
      <c r="S12" s="25"/>
    </row>
    <row r="13" spans="1:21" ht="4.5" customHeight="1" x14ac:dyDescent="0.3">
      <c r="A13" s="27"/>
      <c r="B13" s="26"/>
      <c r="C13" s="26"/>
      <c r="D13" s="27"/>
      <c r="E13" s="27"/>
      <c r="F13" s="27"/>
      <c r="G13" s="27"/>
      <c r="H13" s="27"/>
      <c r="I13" s="27"/>
      <c r="J13" s="27"/>
      <c r="K13" s="27"/>
      <c r="L13" s="328"/>
      <c r="M13" s="329"/>
      <c r="N13" s="328"/>
      <c r="O13" s="27"/>
      <c r="P13" s="27"/>
      <c r="Q13"/>
      <c r="R13"/>
      <c r="S13" s="25"/>
    </row>
    <row r="14" spans="1:21" ht="12.75" customHeight="1" x14ac:dyDescent="0.3">
      <c r="A14" s="390">
        <v>1</v>
      </c>
      <c r="B14" s="351" t="s">
        <v>187</v>
      </c>
      <c r="C14" s="26"/>
      <c r="D14" s="26" t="s">
        <v>523</v>
      </c>
      <c r="E14" s="26"/>
      <c r="F14" s="26"/>
      <c r="G14" s="26"/>
      <c r="H14" s="26"/>
      <c r="I14" s="26"/>
      <c r="J14" s="26"/>
      <c r="K14" s="202" t="s">
        <v>502</v>
      </c>
      <c r="L14" s="331"/>
      <c r="M14" s="124"/>
      <c r="N14" s="362">
        <f>IF(N(L14)&gt;0,L14,L16*200*365/1000000)</f>
        <v>365</v>
      </c>
      <c r="O14" s="26" t="s">
        <v>180</v>
      </c>
      <c r="P14" s="27"/>
      <c r="Q14" s="335"/>
      <c r="R14"/>
      <c r="S14" s="206"/>
      <c r="T14" s="207"/>
      <c r="U14" s="207"/>
    </row>
    <row r="15" spans="1:21" ht="12.75" customHeight="1" x14ac:dyDescent="0.3">
      <c r="A15" s="41"/>
      <c r="B15" s="352"/>
      <c r="C15" s="26"/>
      <c r="D15" s="365" t="s">
        <v>465</v>
      </c>
      <c r="F15" s="27"/>
      <c r="G15" s="27"/>
      <c r="H15" s="27"/>
      <c r="I15" s="27"/>
      <c r="J15" s="27"/>
      <c r="L15" s="110"/>
      <c r="M15" s="123"/>
      <c r="N15" s="161"/>
      <c r="O15" s="27"/>
      <c r="P15" s="27"/>
      <c r="Q15" s="333"/>
      <c r="R15"/>
      <c r="S15" s="206"/>
      <c r="T15" s="207"/>
      <c r="U15" s="207"/>
    </row>
    <row r="16" spans="1:21" ht="12.75" customHeight="1" x14ac:dyDescent="0.3">
      <c r="A16" s="390">
        <v>2</v>
      </c>
      <c r="B16" s="350" t="s">
        <v>214</v>
      </c>
      <c r="C16" s="354"/>
      <c r="D16" s="26" t="s">
        <v>434</v>
      </c>
      <c r="F16" s="26"/>
      <c r="G16" s="26"/>
      <c r="H16" s="26"/>
      <c r="I16" s="26"/>
      <c r="J16" s="26"/>
      <c r="K16" s="202" t="s">
        <v>451</v>
      </c>
      <c r="L16" s="331">
        <v>5000</v>
      </c>
      <c r="M16" s="172"/>
      <c r="N16" s="362">
        <f>IF(N(L14)&gt;0,L14*1000000/200/365,IF(N(L16)&gt;0,L16,IF(N(L25)&gt;0,L25/0.0585,0)))</f>
        <v>5000</v>
      </c>
      <c r="O16" s="26" t="s">
        <v>7</v>
      </c>
      <c r="P16" s="26"/>
      <c r="Q16" s="335"/>
      <c r="R16"/>
      <c r="S16" s="206"/>
      <c r="T16" s="207"/>
      <c r="U16" s="207"/>
    </row>
    <row r="17" spans="1:23" ht="12.75" customHeight="1" x14ac:dyDescent="0.3">
      <c r="A17" s="390"/>
      <c r="B17" s="350"/>
      <c r="C17" s="23"/>
      <c r="E17" s="26" t="s">
        <v>450</v>
      </c>
      <c r="P17" s="26"/>
      <c r="Q17" s="333"/>
      <c r="R17"/>
      <c r="S17" s="206"/>
      <c r="T17" s="207"/>
      <c r="U17" s="207"/>
    </row>
    <row r="18" spans="1:23" ht="3.75" customHeight="1" thickBot="1" x14ac:dyDescent="0.35">
      <c r="A18" s="195"/>
      <c r="B18" s="364"/>
      <c r="C18" s="196"/>
      <c r="D18" s="198"/>
      <c r="E18" s="198"/>
      <c r="F18" s="197"/>
      <c r="G18" s="197"/>
      <c r="H18" s="197"/>
      <c r="I18" s="197"/>
      <c r="J18" s="197"/>
      <c r="K18" s="198"/>
      <c r="L18" s="198"/>
      <c r="M18" s="198"/>
      <c r="N18" s="198"/>
      <c r="O18" s="198"/>
      <c r="P18" s="26"/>
      <c r="Q18" s="333"/>
      <c r="R18" s="2"/>
      <c r="S18" s="127"/>
      <c r="T18" s="357"/>
      <c r="U18" s="357"/>
      <c r="V18" s="6"/>
      <c r="W18" s="6"/>
    </row>
    <row r="19" spans="1:23" ht="3.75" customHeight="1" x14ac:dyDescent="0.3">
      <c r="A19" s="493"/>
      <c r="B19" s="494"/>
      <c r="C19" s="495"/>
      <c r="D19" s="108"/>
      <c r="E19" s="108"/>
      <c r="F19" s="204"/>
      <c r="G19" s="204"/>
      <c r="H19" s="204"/>
      <c r="I19" s="204"/>
      <c r="J19" s="204"/>
      <c r="K19" s="108"/>
      <c r="L19" s="108"/>
      <c r="M19" s="108"/>
      <c r="N19" s="108"/>
      <c r="O19" s="108"/>
      <c r="P19" s="26"/>
      <c r="Q19" s="333"/>
      <c r="R19" s="2"/>
      <c r="S19" s="127"/>
      <c r="T19" s="357"/>
      <c r="U19" s="357"/>
      <c r="V19" s="6"/>
      <c r="W19" s="6"/>
    </row>
    <row r="20" spans="1:23" ht="12.75" customHeight="1" x14ac:dyDescent="0.3">
      <c r="A20" s="351" t="s">
        <v>427</v>
      </c>
      <c r="B20" s="350"/>
      <c r="C20" s="23"/>
      <c r="D20" s="328"/>
      <c r="E20" s="26"/>
      <c r="F20" s="26"/>
      <c r="G20" s="26"/>
      <c r="H20" s="26"/>
      <c r="I20" s="26"/>
      <c r="J20" s="26"/>
      <c r="L20" s="127"/>
      <c r="M20" s="120"/>
      <c r="N20" s="161"/>
      <c r="O20" s="26"/>
      <c r="P20" s="26"/>
      <c r="Q20" s="333"/>
      <c r="R20" s="2"/>
      <c r="S20" s="127"/>
      <c r="T20" s="357"/>
      <c r="U20" s="357"/>
      <c r="V20" s="6"/>
      <c r="W20" s="6"/>
    </row>
    <row r="21" spans="1:23" ht="3.75" customHeight="1" x14ac:dyDescent="0.3">
      <c r="A21" s="351"/>
      <c r="B21" s="350"/>
      <c r="C21" s="23"/>
      <c r="D21" s="365"/>
      <c r="E21" s="26"/>
      <c r="F21" s="26"/>
      <c r="G21" s="26"/>
      <c r="H21" s="26"/>
      <c r="I21" s="26"/>
      <c r="J21" s="26"/>
      <c r="L21" s="127"/>
      <c r="M21" s="120"/>
      <c r="N21" s="161"/>
      <c r="O21" s="26"/>
      <c r="P21" s="26"/>
      <c r="Q21" s="333"/>
      <c r="R21" s="2"/>
      <c r="S21" s="127"/>
      <c r="T21" s="357"/>
      <c r="U21" s="357"/>
      <c r="V21" s="6"/>
      <c r="W21" s="6"/>
    </row>
    <row r="22" spans="1:23" ht="12.75" customHeight="1" x14ac:dyDescent="0.3">
      <c r="A22" s="328">
        <v>3</v>
      </c>
      <c r="B22" s="350" t="s">
        <v>528</v>
      </c>
      <c r="C22" s="23"/>
      <c r="D22" s="26" t="s">
        <v>529</v>
      </c>
      <c r="E22" s="26"/>
      <c r="F22" s="26"/>
      <c r="G22" s="26"/>
      <c r="H22" s="26"/>
      <c r="I22" s="26"/>
      <c r="J22" s="26"/>
      <c r="L22" s="127"/>
      <c r="M22" s="120"/>
      <c r="N22" s="161"/>
      <c r="O22" s="26"/>
      <c r="P22" s="26"/>
      <c r="Q22" s="333"/>
      <c r="R22" s="2"/>
      <c r="S22" s="127"/>
      <c r="T22" s="357"/>
      <c r="U22" s="357"/>
      <c r="V22" s="6"/>
      <c r="W22" s="6"/>
    </row>
    <row r="23" spans="1:23" ht="12.75" customHeight="1" x14ac:dyDescent="0.3">
      <c r="A23" s="328"/>
      <c r="B23" s="350" t="s">
        <v>527</v>
      </c>
      <c r="C23" s="23"/>
      <c r="D23" s="26"/>
      <c r="F23" s="26"/>
      <c r="G23" s="26"/>
      <c r="H23" s="26"/>
      <c r="I23" s="26"/>
      <c r="J23" s="26"/>
      <c r="K23" s="202" t="s">
        <v>404</v>
      </c>
      <c r="L23" s="160">
        <v>0.3</v>
      </c>
      <c r="M23" s="120"/>
      <c r="N23" s="161"/>
      <c r="O23" s="26"/>
      <c r="P23" s="26"/>
      <c r="Q23" s="333"/>
      <c r="R23" s="2"/>
      <c r="S23" s="127"/>
      <c r="T23" s="357"/>
      <c r="U23" s="357"/>
      <c r="V23" s="6"/>
      <c r="W23" s="6"/>
    </row>
    <row r="24" spans="1:23" ht="3.75" customHeight="1" x14ac:dyDescent="0.3">
      <c r="A24" s="351"/>
      <c r="B24" s="353"/>
      <c r="F24" s="26"/>
      <c r="G24" s="26"/>
      <c r="H24" s="26"/>
      <c r="I24" s="26"/>
      <c r="J24" s="26"/>
      <c r="M24" s="120"/>
      <c r="N24" s="161"/>
      <c r="O24" s="26"/>
      <c r="P24" s="26"/>
      <c r="Q24" s="333"/>
      <c r="R24" s="2"/>
      <c r="S24" s="127"/>
      <c r="T24" s="357"/>
      <c r="U24" s="357"/>
      <c r="V24" s="6"/>
      <c r="W24" s="6"/>
    </row>
    <row r="25" spans="1:23" ht="12.75" customHeight="1" x14ac:dyDescent="0.3">
      <c r="A25" s="390">
        <v>4</v>
      </c>
      <c r="B25" s="350" t="s">
        <v>423</v>
      </c>
      <c r="C25" s="23"/>
      <c r="D25" s="26" t="s">
        <v>512</v>
      </c>
      <c r="E25" s="26"/>
      <c r="F25" s="26"/>
      <c r="G25" s="26"/>
      <c r="H25" s="26"/>
      <c r="I25" s="26"/>
      <c r="J25" s="26"/>
      <c r="K25" s="202" t="s">
        <v>422</v>
      </c>
      <c r="L25" s="313"/>
      <c r="M25" s="120" t="s">
        <v>181</v>
      </c>
      <c r="N25" s="161"/>
      <c r="O25" s="26"/>
      <c r="P25" s="26"/>
      <c r="Q25" s="333"/>
      <c r="R25" s="2"/>
      <c r="S25" s="6"/>
      <c r="T25" s="357"/>
      <c r="U25" s="357"/>
      <c r="V25" s="6"/>
      <c r="W25" s="6"/>
    </row>
    <row r="26" spans="1:23" ht="12.75" customHeight="1" x14ac:dyDescent="0.3">
      <c r="A26" s="390"/>
      <c r="B26" s="350"/>
      <c r="C26" s="23"/>
      <c r="E26" s="26" t="s">
        <v>412</v>
      </c>
      <c r="F26" s="26"/>
      <c r="G26" s="26"/>
      <c r="H26" s="26"/>
      <c r="I26" s="26"/>
      <c r="J26" s="26"/>
      <c r="L26" s="127"/>
      <c r="M26" s="120"/>
      <c r="N26" s="161"/>
      <c r="O26" s="26"/>
      <c r="P26" s="26"/>
      <c r="Q26" s="333"/>
      <c r="R26" s="2"/>
      <c r="S26" s="358"/>
      <c r="T26" s="357"/>
      <c r="U26" s="357"/>
      <c r="V26" s="6"/>
      <c r="W26" s="6"/>
    </row>
    <row r="27" spans="1:23" ht="3.75" customHeight="1" x14ac:dyDescent="0.3">
      <c r="A27" s="390"/>
      <c r="B27" s="350"/>
      <c r="C27" s="23"/>
      <c r="D27" s="328"/>
      <c r="E27" s="26"/>
      <c r="F27" s="26"/>
      <c r="G27" s="26"/>
      <c r="H27" s="26"/>
      <c r="I27" s="26"/>
      <c r="J27" s="26"/>
      <c r="L27" s="127"/>
      <c r="M27" s="120"/>
      <c r="N27" s="161"/>
      <c r="O27" s="26"/>
      <c r="P27" s="26"/>
      <c r="Q27" s="333"/>
      <c r="R27" s="2"/>
      <c r="S27" s="358"/>
      <c r="T27" s="357"/>
      <c r="U27" s="357"/>
      <c r="V27" s="6"/>
      <c r="W27" s="6"/>
    </row>
    <row r="28" spans="1:23" ht="12.75" customHeight="1" x14ac:dyDescent="0.3">
      <c r="A28" s="390"/>
      <c r="B28" s="350"/>
      <c r="C28" s="23"/>
      <c r="D28" s="365" t="s">
        <v>438</v>
      </c>
      <c r="E28" s="26"/>
      <c r="F28" s="26"/>
      <c r="G28" s="26"/>
      <c r="H28" s="26"/>
      <c r="I28" s="26"/>
      <c r="J28" s="26"/>
      <c r="L28" s="105" t="s">
        <v>249</v>
      </c>
      <c r="M28" s="125"/>
      <c r="N28" s="362">
        <f>IF(N(L25)&gt;0,N(L25),0.0585*N(N16))</f>
        <v>292.5</v>
      </c>
      <c r="O28" s="26" t="s">
        <v>181</v>
      </c>
      <c r="P28" s="26"/>
      <c r="Q28" s="333"/>
      <c r="R28" s="2"/>
      <c r="S28" s="127"/>
      <c r="T28" s="127"/>
      <c r="U28" s="127"/>
      <c r="V28" s="6"/>
      <c r="W28" s="6"/>
    </row>
    <row r="29" spans="1:23" ht="3.75" customHeight="1" x14ac:dyDescent="0.3">
      <c r="A29" s="390"/>
      <c r="B29" s="350"/>
      <c r="D29" s="26"/>
      <c r="M29" s="122"/>
      <c r="N29" s="162"/>
      <c r="P29" s="26"/>
      <c r="Q29" s="335"/>
      <c r="R29" s="359"/>
      <c r="S29" s="127"/>
      <c r="T29" s="127"/>
      <c r="U29" s="127"/>
      <c r="V29" s="6"/>
      <c r="W29" s="6"/>
    </row>
    <row r="30" spans="1:23" ht="12.75" customHeight="1" x14ac:dyDescent="0.3">
      <c r="A30" s="390">
        <v>5</v>
      </c>
      <c r="B30" s="350" t="s">
        <v>425</v>
      </c>
      <c r="C30" s="23"/>
      <c r="D30" s="26" t="s">
        <v>511</v>
      </c>
      <c r="E30" s="26"/>
      <c r="F30" s="26"/>
      <c r="G30" s="26"/>
      <c r="H30" s="26"/>
      <c r="I30" s="26"/>
      <c r="J30" s="26"/>
      <c r="O30" s="26"/>
      <c r="P30" s="26"/>
      <c r="Q30" s="335"/>
      <c r="R30" s="359"/>
      <c r="S30" s="127"/>
      <c r="T30" s="127"/>
      <c r="U30" s="127"/>
      <c r="V30" s="6"/>
      <c r="W30" s="6"/>
    </row>
    <row r="31" spans="1:23" ht="12.75" customHeight="1" x14ac:dyDescent="0.3">
      <c r="A31" s="390"/>
      <c r="B31" s="350"/>
      <c r="C31" s="23"/>
      <c r="D31" s="26" t="s">
        <v>496</v>
      </c>
      <c r="F31" s="26"/>
      <c r="G31" s="26"/>
      <c r="H31" s="26"/>
      <c r="I31" s="26"/>
      <c r="J31" s="26"/>
      <c r="K31" s="202" t="s">
        <v>350</v>
      </c>
      <c r="L31" s="313"/>
      <c r="M31" s="125" t="s">
        <v>181</v>
      </c>
      <c r="N31" s="162"/>
      <c r="O31" s="26"/>
      <c r="P31" s="26"/>
      <c r="Q31" s="335"/>
      <c r="R31" s="359"/>
      <c r="S31" s="127"/>
      <c r="T31" s="127"/>
      <c r="U31" s="127"/>
      <c r="V31" s="6"/>
      <c r="W31" s="6"/>
    </row>
    <row r="32" spans="1:23" ht="12.75" customHeight="1" x14ac:dyDescent="0.3">
      <c r="A32" s="390"/>
      <c r="B32" s="350"/>
      <c r="C32" s="23"/>
      <c r="D32" s="26" t="s">
        <v>530</v>
      </c>
      <c r="E32" s="26"/>
      <c r="F32" s="26"/>
      <c r="G32" s="26"/>
      <c r="H32" s="26"/>
      <c r="I32" s="26"/>
      <c r="J32" s="26"/>
      <c r="L32" s="128"/>
      <c r="M32" s="120"/>
      <c r="N32" s="162"/>
      <c r="O32" s="26"/>
      <c r="P32" s="26"/>
      <c r="Q32" s="335"/>
      <c r="R32" s="359"/>
      <c r="S32" s="127"/>
      <c r="T32" s="127"/>
      <c r="U32" s="127"/>
      <c r="V32" s="6"/>
      <c r="W32" s="6"/>
    </row>
    <row r="33" spans="1:23" ht="12.75" customHeight="1" x14ac:dyDescent="0.3">
      <c r="A33" s="390"/>
      <c r="B33" s="350"/>
      <c r="C33" s="23"/>
      <c r="E33" s="26" t="s">
        <v>32</v>
      </c>
      <c r="F33" s="26"/>
      <c r="G33" s="26"/>
      <c r="H33" s="26"/>
      <c r="I33" s="26"/>
      <c r="J33" s="26"/>
      <c r="L33" s="105" t="s">
        <v>350</v>
      </c>
      <c r="M33" s="125"/>
      <c r="N33" s="362">
        <f>IF(N(L31)&gt;0,L31,0.08*N28)</f>
        <v>23.400000000000002</v>
      </c>
      <c r="O33" s="26" t="s">
        <v>181</v>
      </c>
      <c r="P33" s="26"/>
      <c r="Q33" s="335"/>
      <c r="R33" s="359"/>
      <c r="S33" s="127"/>
      <c r="T33" s="127"/>
      <c r="U33" s="127"/>
      <c r="V33" s="6"/>
      <c r="W33" s="6"/>
    </row>
    <row r="34" spans="1:23" ht="3.75" customHeight="1" x14ac:dyDescent="0.3">
      <c r="A34" s="391"/>
      <c r="B34" s="350"/>
      <c r="C34" s="23"/>
      <c r="D34" s="26"/>
      <c r="E34" s="26"/>
      <c r="F34" s="26"/>
      <c r="G34" s="26"/>
      <c r="H34" s="26"/>
      <c r="I34" s="26"/>
      <c r="J34" s="26"/>
      <c r="L34" s="6"/>
      <c r="M34" s="125"/>
      <c r="N34" s="38"/>
      <c r="O34" s="26"/>
      <c r="P34" s="26"/>
      <c r="Q34" s="335"/>
      <c r="R34" s="359"/>
      <c r="S34" s="127"/>
      <c r="T34" s="127"/>
      <c r="U34" s="127"/>
      <c r="V34" s="6"/>
      <c r="W34" s="6"/>
    </row>
    <row r="35" spans="1:23" ht="3.75" customHeight="1" x14ac:dyDescent="0.3">
      <c r="A35" s="399"/>
      <c r="B35" s="400"/>
      <c r="C35" s="401"/>
      <c r="D35" s="402"/>
      <c r="E35" s="402"/>
      <c r="F35" s="402"/>
      <c r="G35" s="402"/>
      <c r="H35" s="402"/>
      <c r="I35" s="402"/>
      <c r="J35" s="402"/>
      <c r="K35" s="403"/>
      <c r="L35" s="404"/>
      <c r="M35" s="403"/>
      <c r="N35" s="405"/>
      <c r="O35" s="406"/>
      <c r="P35" s="26"/>
      <c r="Q35" s="335"/>
      <c r="R35" s="359"/>
      <c r="S35" s="127"/>
      <c r="T35" s="127"/>
      <c r="U35" s="127"/>
      <c r="V35" s="6"/>
      <c r="W35" s="6"/>
    </row>
    <row r="36" spans="1:23" ht="12.75" customHeight="1" x14ac:dyDescent="0.3">
      <c r="A36" s="407">
        <v>6</v>
      </c>
      <c r="B36" s="408" t="s">
        <v>436</v>
      </c>
      <c r="C36" s="409"/>
      <c r="D36" s="410" t="s">
        <v>447</v>
      </c>
      <c r="E36" s="410"/>
      <c r="F36" s="410"/>
      <c r="G36" s="410"/>
      <c r="H36" s="410"/>
      <c r="I36" s="410"/>
      <c r="J36" s="410"/>
      <c r="K36" s="411"/>
      <c r="L36" s="412"/>
      <c r="M36" s="411"/>
      <c r="N36" s="413"/>
      <c r="O36" s="414"/>
      <c r="P36" s="26"/>
      <c r="Q36" s="335"/>
      <c r="R36" s="359"/>
      <c r="S36" s="127"/>
      <c r="T36" s="127"/>
      <c r="U36" s="127"/>
      <c r="V36" s="6"/>
      <c r="W36" s="6"/>
    </row>
    <row r="37" spans="1:23" ht="12.75" customHeight="1" x14ac:dyDescent="0.3">
      <c r="A37" s="415"/>
      <c r="B37" s="416" t="s">
        <v>437</v>
      </c>
      <c r="C37" s="417"/>
      <c r="D37" s="411"/>
      <c r="E37" s="410" t="s">
        <v>424</v>
      </c>
      <c r="F37" s="410"/>
      <c r="G37" s="410"/>
      <c r="H37" s="410"/>
      <c r="I37" s="410"/>
      <c r="J37" s="410"/>
      <c r="K37" s="411"/>
      <c r="L37" s="418" t="s">
        <v>273</v>
      </c>
      <c r="M37" s="411"/>
      <c r="N37" s="361">
        <f>IF((N28-N62-N33)&gt;0,(N28-N62-N33)*L23*6.3,0)</f>
        <v>176.904</v>
      </c>
      <c r="O37" s="414" t="s">
        <v>182</v>
      </c>
      <c r="P37" s="26"/>
      <c r="Q37" s="335"/>
      <c r="R37" s="359"/>
      <c r="S37" s="127"/>
      <c r="T37" s="127"/>
      <c r="U37" s="127"/>
      <c r="V37" s="6"/>
      <c r="W37" s="6"/>
    </row>
    <row r="38" spans="1:23" ht="3.75" customHeight="1" x14ac:dyDescent="0.3">
      <c r="A38" s="419"/>
      <c r="B38" s="420"/>
      <c r="C38" s="421"/>
      <c r="D38" s="422"/>
      <c r="E38" s="423"/>
      <c r="F38" s="423"/>
      <c r="G38" s="423"/>
      <c r="H38" s="423"/>
      <c r="I38" s="423"/>
      <c r="J38" s="423"/>
      <c r="K38" s="422"/>
      <c r="L38" s="424"/>
      <c r="M38" s="422"/>
      <c r="N38" s="425"/>
      <c r="O38" s="426"/>
      <c r="P38" s="26"/>
      <c r="Q38" s="335"/>
      <c r="R38" s="359"/>
      <c r="S38" s="127"/>
      <c r="T38" s="127"/>
      <c r="U38" s="127"/>
      <c r="V38" s="6"/>
      <c r="W38" s="6"/>
    </row>
    <row r="39" spans="1:23" ht="12.75" customHeight="1" x14ac:dyDescent="0.3">
      <c r="A39" s="390"/>
      <c r="B39" s="350"/>
      <c r="C39" s="23"/>
      <c r="D39" s="202" t="s">
        <v>501</v>
      </c>
      <c r="E39" s="26" t="s">
        <v>507</v>
      </c>
      <c r="G39" s="26"/>
      <c r="H39" s="26"/>
      <c r="I39" s="26"/>
      <c r="J39" s="26"/>
      <c r="P39" s="26"/>
      <c r="Q39" s="335"/>
      <c r="R39" s="359"/>
      <c r="S39" s="127"/>
      <c r="T39" s="127"/>
      <c r="U39" s="127"/>
      <c r="V39" s="6"/>
      <c r="W39" s="6"/>
    </row>
    <row r="40" spans="1:23" ht="12.75" customHeight="1" x14ac:dyDescent="0.3">
      <c r="A40" s="390"/>
      <c r="B40" s="350"/>
      <c r="C40" s="23"/>
      <c r="E40" s="3" t="s">
        <v>503</v>
      </c>
      <c r="G40" s="26"/>
      <c r="H40" s="26"/>
      <c r="I40" s="26"/>
      <c r="J40" s="26"/>
      <c r="P40" s="26"/>
      <c r="Q40" s="335"/>
      <c r="R40" s="359"/>
      <c r="S40" s="127"/>
      <c r="T40" s="127"/>
      <c r="U40" s="127"/>
      <c r="V40" s="6"/>
      <c r="W40" s="6"/>
    </row>
    <row r="41" spans="1:23" ht="12.75" customHeight="1" x14ac:dyDescent="0.3">
      <c r="A41" s="390"/>
      <c r="B41" s="350"/>
      <c r="C41" s="23"/>
      <c r="E41" s="3" t="s">
        <v>504</v>
      </c>
      <c r="G41" s="26"/>
      <c r="H41" s="26"/>
      <c r="I41" s="26"/>
      <c r="J41" s="26"/>
      <c r="P41" s="26"/>
      <c r="Q41" s="335"/>
      <c r="R41" s="359"/>
      <c r="S41" s="127"/>
      <c r="T41" s="127"/>
      <c r="U41" s="127"/>
      <c r="V41" s="6"/>
      <c r="W41" s="6"/>
    </row>
    <row r="42" spans="1:23" ht="3.75" customHeight="1" thickBot="1" x14ac:dyDescent="0.35">
      <c r="A42" s="195"/>
      <c r="B42" s="364"/>
      <c r="C42" s="196"/>
      <c r="D42" s="198"/>
      <c r="E42" s="198"/>
      <c r="F42" s="197"/>
      <c r="G42" s="197"/>
      <c r="H42" s="197"/>
      <c r="I42" s="197"/>
      <c r="J42" s="197"/>
      <c r="K42" s="198"/>
      <c r="L42" s="198"/>
      <c r="M42" s="198"/>
      <c r="N42" s="198"/>
      <c r="O42" s="198"/>
      <c r="P42" s="26"/>
      <c r="Q42" s="335"/>
      <c r="R42" s="359"/>
      <c r="S42" s="127"/>
      <c r="T42" s="127"/>
      <c r="U42" s="127"/>
      <c r="V42" s="6"/>
      <c r="W42" s="6"/>
    </row>
    <row r="43" spans="1:23" ht="3.75" customHeight="1" x14ac:dyDescent="0.3">
      <c r="A43" s="493"/>
      <c r="B43" s="494"/>
      <c r="C43" s="495"/>
      <c r="D43" s="108"/>
      <c r="E43" s="108"/>
      <c r="F43" s="204"/>
      <c r="G43" s="204"/>
      <c r="H43" s="204"/>
      <c r="I43" s="204"/>
      <c r="J43" s="204"/>
      <c r="K43" s="108"/>
      <c r="L43" s="108"/>
      <c r="M43" s="108"/>
      <c r="N43" s="108"/>
      <c r="O43" s="108"/>
      <c r="P43" s="26"/>
      <c r="Q43" s="335"/>
      <c r="R43" s="359"/>
      <c r="S43" s="127"/>
      <c r="T43" s="127"/>
      <c r="U43" s="127"/>
      <c r="V43" s="6"/>
      <c r="W43" s="6"/>
    </row>
    <row r="44" spans="1:23" ht="12.75" customHeight="1" x14ac:dyDescent="0.3">
      <c r="A44" s="351" t="s">
        <v>426</v>
      </c>
      <c r="B44" s="350"/>
      <c r="C44" s="23"/>
      <c r="F44" s="26"/>
      <c r="G44" s="26"/>
      <c r="H44" s="26"/>
      <c r="I44" s="26"/>
      <c r="J44" s="26"/>
      <c r="P44" s="26"/>
      <c r="Q44" s="335"/>
      <c r="R44" s="359"/>
      <c r="S44" s="127"/>
      <c r="T44" s="127"/>
      <c r="U44" s="127"/>
      <c r="V44" s="6"/>
      <c r="W44" s="6"/>
    </row>
    <row r="45" spans="1:23" ht="4.5" customHeight="1" x14ac:dyDescent="0.3">
      <c r="A45" s="351"/>
      <c r="B45" s="350"/>
      <c r="C45" s="23"/>
      <c r="F45" s="26"/>
      <c r="G45" s="26"/>
      <c r="H45" s="26"/>
      <c r="I45" s="26"/>
      <c r="J45" s="26"/>
      <c r="P45" s="26"/>
      <c r="Q45" s="335"/>
      <c r="R45" s="359"/>
      <c r="S45" s="127"/>
      <c r="T45" s="127"/>
      <c r="U45" s="127"/>
      <c r="V45" s="6"/>
      <c r="W45" s="6"/>
    </row>
    <row r="46" spans="1:23" ht="12.75" customHeight="1" x14ac:dyDescent="0.3">
      <c r="A46" s="328">
        <v>7</v>
      </c>
      <c r="B46" s="379" t="s">
        <v>468</v>
      </c>
      <c r="C46" s="23"/>
      <c r="D46" s="26" t="s">
        <v>526</v>
      </c>
      <c r="F46" s="26"/>
      <c r="G46" s="26"/>
      <c r="H46" s="26"/>
      <c r="I46" s="26"/>
      <c r="J46" s="26"/>
      <c r="K46" s="202" t="s">
        <v>405</v>
      </c>
      <c r="L46" s="160">
        <v>0.8</v>
      </c>
      <c r="P46" s="26"/>
      <c r="Q46" s="335"/>
      <c r="R46" s="359"/>
      <c r="S46" s="127"/>
      <c r="T46" s="127"/>
      <c r="U46" s="127"/>
      <c r="V46" s="6"/>
      <c r="W46" s="6"/>
    </row>
    <row r="47" spans="1:23" ht="3.75" customHeight="1" x14ac:dyDescent="0.3">
      <c r="A47" s="351"/>
      <c r="B47" s="350"/>
      <c r="C47" s="23"/>
      <c r="F47" s="26"/>
      <c r="G47" s="26"/>
      <c r="H47" s="26"/>
      <c r="I47" s="26"/>
      <c r="J47" s="26"/>
      <c r="P47" s="26"/>
      <c r="Q47" s="335"/>
      <c r="R47" s="359"/>
      <c r="S47" s="127"/>
      <c r="T47" s="127"/>
      <c r="U47" s="127"/>
      <c r="V47" s="6"/>
      <c r="W47" s="6"/>
    </row>
    <row r="48" spans="1:23" ht="12.75" customHeight="1" x14ac:dyDescent="0.3">
      <c r="A48" s="328">
        <v>8</v>
      </c>
      <c r="B48" s="394" t="s">
        <v>428</v>
      </c>
      <c r="C48" s="3"/>
      <c r="D48" s="26" t="s">
        <v>508</v>
      </c>
      <c r="E48" s="26"/>
      <c r="F48" s="26"/>
      <c r="G48" s="26"/>
      <c r="H48" s="26"/>
      <c r="I48" s="26"/>
      <c r="J48" s="26"/>
      <c r="L48" s="6"/>
      <c r="M48" s="125"/>
      <c r="N48" s="162"/>
      <c r="O48" s="26"/>
      <c r="P48" s="26"/>
      <c r="Q48" s="333"/>
      <c r="R48" s="2"/>
      <c r="S48" s="127"/>
      <c r="T48" s="127"/>
      <c r="U48" s="127"/>
      <c r="V48" s="6"/>
      <c r="W48" s="6"/>
    </row>
    <row r="49" spans="1:23" ht="12.75" customHeight="1" x14ac:dyDescent="0.3">
      <c r="A49" s="353"/>
      <c r="B49" s="379" t="s">
        <v>466</v>
      </c>
      <c r="C49" s="23"/>
      <c r="E49" s="26" t="s">
        <v>525</v>
      </c>
      <c r="F49" s="26"/>
      <c r="G49" s="26"/>
      <c r="H49" s="26"/>
      <c r="I49" s="26"/>
      <c r="J49" s="26"/>
      <c r="K49" s="202" t="s">
        <v>345</v>
      </c>
      <c r="L49" s="313"/>
      <c r="M49" s="125" t="s">
        <v>181</v>
      </c>
      <c r="N49" s="40"/>
      <c r="P49" s="26"/>
      <c r="Q49" s="333"/>
      <c r="R49"/>
      <c r="S49" s="206"/>
      <c r="T49" s="206"/>
      <c r="U49" s="127"/>
      <c r="V49" s="6"/>
      <c r="W49" s="6"/>
    </row>
    <row r="50" spans="1:23" ht="3.75" customHeight="1" x14ac:dyDescent="0.3">
      <c r="A50" s="328"/>
      <c r="B50" s="350"/>
      <c r="C50" s="23"/>
      <c r="D50" s="26"/>
      <c r="E50" s="26"/>
      <c r="F50" s="26"/>
      <c r="G50" s="26"/>
      <c r="H50" s="26"/>
      <c r="I50" s="26"/>
      <c r="J50" s="26"/>
      <c r="K50" s="202"/>
      <c r="L50" s="194"/>
      <c r="M50" s="125"/>
      <c r="N50" s="40"/>
      <c r="P50" s="26"/>
      <c r="Q50" s="333"/>
      <c r="R50"/>
      <c r="S50" s="206"/>
      <c r="T50" s="207"/>
      <c r="U50" s="357"/>
      <c r="V50" s="6"/>
      <c r="W50" s="6"/>
    </row>
    <row r="51" spans="1:23" ht="12.75" customHeight="1" x14ac:dyDescent="0.3">
      <c r="A51" s="328"/>
      <c r="B51" s="350"/>
      <c r="C51" s="23"/>
      <c r="E51" s="26" t="s">
        <v>524</v>
      </c>
      <c r="F51" s="26"/>
      <c r="G51" s="26"/>
      <c r="H51" s="26"/>
      <c r="I51" s="26"/>
      <c r="J51" s="26"/>
      <c r="K51" s="202" t="s">
        <v>346</v>
      </c>
      <c r="L51" s="313"/>
      <c r="M51" s="125" t="s">
        <v>181</v>
      </c>
      <c r="N51" s="40"/>
      <c r="P51" s="26"/>
      <c r="Q51" s="201"/>
      <c r="R51" s="120"/>
      <c r="S51" s="128"/>
      <c r="T51" s="204"/>
      <c r="U51" s="368"/>
      <c r="V51" s="7"/>
      <c r="W51" s="6"/>
    </row>
    <row r="52" spans="1:23" ht="3.75" customHeight="1" x14ac:dyDescent="0.3">
      <c r="A52" s="328"/>
      <c r="B52" s="350"/>
      <c r="C52" s="23"/>
      <c r="D52" s="328"/>
      <c r="E52" s="26"/>
      <c r="F52" s="26"/>
      <c r="G52" s="26"/>
      <c r="H52" s="26"/>
      <c r="I52" s="26"/>
      <c r="J52" s="26"/>
      <c r="L52" s="128"/>
      <c r="M52" s="120"/>
      <c r="N52" s="162"/>
      <c r="O52" s="26"/>
      <c r="P52" s="26"/>
      <c r="Q52" s="369"/>
      <c r="R52" s="5"/>
      <c r="S52" s="370"/>
      <c r="T52" s="370"/>
      <c r="U52" s="371"/>
      <c r="V52" s="7"/>
      <c r="W52" s="6"/>
    </row>
    <row r="53" spans="1:23" ht="12.75" customHeight="1" x14ac:dyDescent="0.3">
      <c r="A53" s="328"/>
      <c r="B53" s="350"/>
      <c r="C53" s="23"/>
      <c r="D53" s="365" t="s">
        <v>467</v>
      </c>
      <c r="E53" s="26"/>
      <c r="F53" s="26"/>
      <c r="G53" s="26"/>
      <c r="H53" s="26"/>
      <c r="I53" s="26"/>
      <c r="J53" s="26"/>
      <c r="P53" s="26"/>
      <c r="Q53" s="204"/>
      <c r="R53" s="5"/>
      <c r="S53" s="370"/>
      <c r="T53" s="370"/>
      <c r="U53" s="371"/>
      <c r="V53" s="7"/>
      <c r="W53" s="6"/>
    </row>
    <row r="54" spans="1:23" ht="12.75" customHeight="1" x14ac:dyDescent="0.3">
      <c r="A54" s="328"/>
      <c r="B54" s="350"/>
      <c r="C54" s="23"/>
      <c r="E54" s="26"/>
      <c r="F54" s="26" t="s">
        <v>509</v>
      </c>
      <c r="G54" s="26"/>
      <c r="H54" s="26"/>
      <c r="I54" s="26"/>
      <c r="J54" s="26"/>
      <c r="K54" s="202" t="s">
        <v>250</v>
      </c>
      <c r="L54" s="356"/>
      <c r="M54" s="120" t="s">
        <v>181</v>
      </c>
      <c r="N54" s="40"/>
      <c r="P54" s="26"/>
      <c r="Q54" s="369"/>
      <c r="R54" s="5"/>
      <c r="S54" s="128"/>
      <c r="T54" s="370"/>
      <c r="U54" s="370"/>
      <c r="V54" s="108"/>
    </row>
    <row r="55" spans="1:23" ht="3.75" customHeight="1" x14ac:dyDescent="0.3">
      <c r="A55" s="328"/>
      <c r="B55" s="350"/>
      <c r="C55" s="23"/>
      <c r="D55" s="328"/>
      <c r="E55" s="26"/>
      <c r="F55" s="26"/>
      <c r="G55" s="26"/>
      <c r="H55" s="26"/>
      <c r="I55" s="26"/>
      <c r="J55" s="26"/>
      <c r="K55" s="202"/>
      <c r="L55" s="360"/>
      <c r="M55" s="120"/>
      <c r="N55" s="40"/>
      <c r="P55" s="26"/>
      <c r="Q55" s="369"/>
      <c r="R55" s="5"/>
      <c r="S55" s="370"/>
      <c r="T55" s="370"/>
      <c r="U55" s="370"/>
      <c r="V55" s="108"/>
    </row>
    <row r="56" spans="1:23" ht="12.75" customHeight="1" x14ac:dyDescent="0.3">
      <c r="A56" s="328"/>
      <c r="B56" s="350"/>
      <c r="C56" s="23"/>
      <c r="D56" s="365" t="s">
        <v>510</v>
      </c>
      <c r="E56" s="26"/>
      <c r="F56" s="26"/>
      <c r="G56" s="26"/>
      <c r="H56" s="26"/>
      <c r="I56" s="26"/>
      <c r="J56" s="26"/>
      <c r="P56" s="26"/>
      <c r="Q56" s="369"/>
      <c r="R56" s="5"/>
      <c r="S56" s="370"/>
      <c r="T56" s="370"/>
      <c r="U56" s="370"/>
      <c r="V56" s="108"/>
    </row>
    <row r="57" spans="1:23" ht="12.75" customHeight="1" x14ac:dyDescent="0.3">
      <c r="A57" s="328"/>
      <c r="B57" s="350"/>
      <c r="C57" s="23"/>
      <c r="E57" s="26"/>
      <c r="G57" s="26"/>
      <c r="H57" s="26"/>
      <c r="I57" s="26"/>
      <c r="J57" s="26"/>
      <c r="K57" s="202" t="s">
        <v>429</v>
      </c>
      <c r="L57" s="356"/>
      <c r="M57" s="120"/>
      <c r="N57" s="40"/>
      <c r="P57" s="26"/>
      <c r="Q57" s="369"/>
      <c r="R57" s="5"/>
      <c r="S57" s="128"/>
      <c r="T57" s="370"/>
      <c r="U57" s="370"/>
      <c r="V57" s="108"/>
    </row>
    <row r="58" spans="1:23" ht="3.75" customHeight="1" x14ac:dyDescent="0.3">
      <c r="A58" s="328"/>
      <c r="B58" s="350"/>
      <c r="C58" s="23"/>
      <c r="D58" s="328"/>
      <c r="E58" s="26"/>
      <c r="F58" s="26"/>
      <c r="G58" s="26"/>
      <c r="H58" s="26"/>
      <c r="I58" s="26"/>
      <c r="J58" s="26"/>
      <c r="K58" s="202"/>
      <c r="L58" s="125"/>
      <c r="M58" s="120"/>
      <c r="N58" s="40"/>
      <c r="P58" s="26"/>
      <c r="Q58" s="369"/>
      <c r="R58" s="5"/>
      <c r="S58" s="370"/>
      <c r="T58" s="370"/>
      <c r="U58" s="370"/>
      <c r="V58" s="108"/>
    </row>
    <row r="59" spans="1:23" ht="12.75" customHeight="1" x14ac:dyDescent="0.3">
      <c r="A59" s="328"/>
      <c r="B59" s="350"/>
      <c r="C59" s="23"/>
      <c r="D59" s="365" t="s">
        <v>439</v>
      </c>
      <c r="F59" s="26"/>
      <c r="G59" s="26"/>
      <c r="H59" s="26"/>
      <c r="I59" s="26"/>
      <c r="J59" s="26"/>
      <c r="K59" s="202"/>
      <c r="P59" s="26"/>
      <c r="Q59" s="372"/>
      <c r="R59" s="373"/>
      <c r="S59" s="370"/>
      <c r="T59" s="370"/>
      <c r="U59" s="370"/>
      <c r="V59" s="108"/>
    </row>
    <row r="60" spans="1:23" ht="12.75" customHeight="1" x14ac:dyDescent="0.3">
      <c r="A60" s="328"/>
      <c r="B60" s="350"/>
      <c r="C60" s="23"/>
      <c r="E60" s="26"/>
      <c r="F60" s="365" t="s">
        <v>440</v>
      </c>
      <c r="G60" s="26"/>
      <c r="H60" s="26"/>
      <c r="I60" s="26"/>
      <c r="J60" s="26"/>
      <c r="L60" s="202" t="s">
        <v>351</v>
      </c>
      <c r="M60" s="120"/>
      <c r="N60" s="338">
        <f>IF(N(L54)&gt;0,N(L54)/N(N28),IF(N(L51)&gt;0,(N(L49)*1.99+N(L51)*1.48)/N(N28),IF(N(L57)&gt;0,N(L57),0.6)))</f>
        <v>0.6</v>
      </c>
      <c r="P60" s="26"/>
      <c r="Q60" s="369"/>
      <c r="R60" s="373"/>
      <c r="S60" s="370"/>
      <c r="T60" s="370"/>
      <c r="U60" s="370"/>
      <c r="V60" s="108"/>
    </row>
    <row r="61" spans="1:23" ht="3.75" customHeight="1" x14ac:dyDescent="0.3">
      <c r="A61" s="328"/>
      <c r="B61" s="350"/>
      <c r="C61" s="23"/>
      <c r="E61" s="26"/>
      <c r="F61" s="26"/>
      <c r="G61" s="26"/>
      <c r="H61" s="26"/>
      <c r="I61" s="26"/>
      <c r="J61" s="26"/>
      <c r="P61" s="26"/>
      <c r="Q61" s="369"/>
      <c r="R61" s="373"/>
      <c r="S61" s="370"/>
      <c r="T61" s="370"/>
      <c r="U61" s="370"/>
      <c r="V61" s="108"/>
    </row>
    <row r="62" spans="1:23" ht="12.75" customHeight="1" x14ac:dyDescent="0.3">
      <c r="A62" s="353"/>
      <c r="B62" s="353"/>
      <c r="C62" s="3"/>
      <c r="D62" s="26" t="s">
        <v>430</v>
      </c>
      <c r="F62" s="26"/>
      <c r="G62" s="26"/>
      <c r="H62" s="26"/>
      <c r="I62" s="26"/>
      <c r="J62" s="26"/>
      <c r="L62" s="348" t="s">
        <v>250</v>
      </c>
      <c r="M62" s="120"/>
      <c r="N62" s="362">
        <f>N(N60)*N(N28)</f>
        <v>175.5</v>
      </c>
      <c r="O62" s="26" t="s">
        <v>181</v>
      </c>
      <c r="P62" s="26"/>
      <c r="Q62" s="372"/>
      <c r="R62" s="373"/>
      <c r="S62" s="370"/>
      <c r="T62" s="370"/>
      <c r="U62" s="370"/>
      <c r="V62" s="108"/>
    </row>
    <row r="63" spans="1:23" ht="4.5" customHeight="1" x14ac:dyDescent="0.3">
      <c r="A63" s="328"/>
      <c r="B63" s="350"/>
      <c r="C63" s="23"/>
      <c r="D63" s="26"/>
      <c r="E63" s="26"/>
      <c r="F63" s="26"/>
      <c r="G63" s="26"/>
      <c r="H63" s="26"/>
      <c r="I63" s="26"/>
      <c r="J63" s="26"/>
      <c r="L63" s="128"/>
      <c r="M63" s="120"/>
      <c r="N63" s="162"/>
      <c r="O63" s="26"/>
      <c r="P63" s="26"/>
      <c r="Q63" s="369"/>
      <c r="R63" s="373"/>
      <c r="S63" s="370"/>
      <c r="T63" s="374"/>
      <c r="U63" s="374"/>
      <c r="V63" s="108"/>
    </row>
    <row r="64" spans="1:23" ht="12.75" customHeight="1" x14ac:dyDescent="0.3">
      <c r="A64" s="328">
        <v>9</v>
      </c>
      <c r="B64" s="350" t="s">
        <v>493</v>
      </c>
      <c r="C64" s="3"/>
      <c r="D64" s="26" t="s">
        <v>513</v>
      </c>
      <c r="F64" s="26"/>
      <c r="G64" s="26"/>
      <c r="H64" s="26"/>
      <c r="I64" s="26"/>
      <c r="J64" s="26"/>
      <c r="L64" s="127"/>
      <c r="M64" s="120"/>
      <c r="N64" s="162"/>
      <c r="P64" s="26"/>
      <c r="Q64" s="369"/>
      <c r="R64" s="373"/>
      <c r="S64" s="370"/>
      <c r="T64" s="374"/>
      <c r="U64" s="374"/>
      <c r="V64" s="108"/>
    </row>
    <row r="65" spans="1:22" ht="12.75" customHeight="1" x14ac:dyDescent="0.3">
      <c r="A65" s="353"/>
      <c r="B65" s="22" t="s">
        <v>492</v>
      </c>
      <c r="C65" s="3"/>
      <c r="F65" s="26" t="s">
        <v>491</v>
      </c>
      <c r="G65" s="26"/>
      <c r="H65" s="26"/>
      <c r="I65" s="26"/>
      <c r="J65" s="26"/>
      <c r="K65" s="202" t="s">
        <v>416</v>
      </c>
      <c r="L65" s="313"/>
      <c r="M65" s="120" t="s">
        <v>181</v>
      </c>
      <c r="N65" s="40"/>
      <c r="P65" s="26"/>
      <c r="Q65" s="369"/>
      <c r="R65" s="373"/>
      <c r="S65" s="370"/>
      <c r="T65" s="370"/>
      <c r="U65" s="370"/>
      <c r="V65" s="108"/>
    </row>
    <row r="66" spans="1:22" ht="4.5" customHeight="1" x14ac:dyDescent="0.3">
      <c r="A66" s="353"/>
      <c r="B66" s="3"/>
      <c r="C66" s="3"/>
      <c r="E66" s="26"/>
      <c r="F66" s="26"/>
      <c r="G66" s="26"/>
      <c r="H66" s="26"/>
      <c r="I66" s="26"/>
      <c r="J66" s="26"/>
      <c r="L66" s="127"/>
      <c r="M66" s="120"/>
      <c r="N66" s="162"/>
      <c r="P66" s="26"/>
      <c r="Q66" s="369"/>
      <c r="R66" s="373"/>
      <c r="S66" s="370"/>
      <c r="T66" s="370"/>
      <c r="U66" s="370"/>
      <c r="V66" s="108"/>
    </row>
    <row r="67" spans="1:22" ht="12.75" customHeight="1" x14ac:dyDescent="0.3">
      <c r="A67" s="353"/>
      <c r="B67" s="3"/>
      <c r="C67" s="3"/>
      <c r="F67" s="26" t="s">
        <v>417</v>
      </c>
      <c r="G67" s="26"/>
      <c r="H67" s="26"/>
      <c r="I67" s="26"/>
      <c r="J67" s="26"/>
      <c r="K67" s="202" t="s">
        <v>415</v>
      </c>
      <c r="L67" s="313"/>
      <c r="M67" s="120" t="s">
        <v>181</v>
      </c>
      <c r="N67" s="40"/>
      <c r="P67" s="26"/>
      <c r="Q67" s="372"/>
      <c r="R67" s="373"/>
      <c r="S67" s="370"/>
      <c r="T67" s="370"/>
      <c r="U67" s="370"/>
      <c r="V67" s="108"/>
    </row>
    <row r="68" spans="1:22" ht="3.75" customHeight="1" x14ac:dyDescent="0.3">
      <c r="A68" s="328"/>
      <c r="B68" s="350"/>
      <c r="C68" s="23"/>
      <c r="G68" s="26"/>
      <c r="H68" s="26"/>
      <c r="I68" s="26"/>
      <c r="J68" s="26"/>
      <c r="K68" s="202"/>
      <c r="P68" s="26"/>
      <c r="Q68" s="108"/>
      <c r="R68" s="373"/>
      <c r="S68" s="370"/>
      <c r="T68" s="370"/>
      <c r="U68" s="370"/>
      <c r="V68" s="108"/>
    </row>
    <row r="69" spans="1:22" ht="12.75" customHeight="1" x14ac:dyDescent="0.3">
      <c r="A69" s="353"/>
      <c r="B69" s="3"/>
      <c r="C69" s="3"/>
      <c r="D69" s="365" t="s">
        <v>514</v>
      </c>
      <c r="F69" s="26"/>
      <c r="G69" s="26"/>
      <c r="H69" s="26"/>
      <c r="I69" s="26"/>
      <c r="J69" s="26"/>
      <c r="L69" s="127"/>
      <c r="M69" s="120"/>
      <c r="N69" s="162"/>
      <c r="O69" s="26"/>
      <c r="P69" s="26"/>
      <c r="Q69" s="204"/>
      <c r="R69" s="373"/>
      <c r="S69" s="370"/>
      <c r="T69" s="370"/>
      <c r="U69" s="370"/>
      <c r="V69" s="108"/>
    </row>
    <row r="70" spans="1:22" ht="12.75" customHeight="1" x14ac:dyDescent="0.3">
      <c r="A70" s="353"/>
      <c r="C70" s="3"/>
      <c r="F70" s="26" t="s">
        <v>494</v>
      </c>
      <c r="G70" s="26"/>
      <c r="H70" s="26"/>
      <c r="I70" s="26"/>
      <c r="J70" s="26"/>
      <c r="K70" s="202" t="s">
        <v>349</v>
      </c>
      <c r="L70" s="313"/>
      <c r="M70" s="120" t="s">
        <v>181</v>
      </c>
      <c r="N70" s="40"/>
      <c r="O70" s="26"/>
      <c r="P70" s="26"/>
      <c r="Q70" s="375"/>
      <c r="R70" s="120"/>
      <c r="S70" s="194"/>
      <c r="T70" s="120"/>
      <c r="U70" s="108"/>
      <c r="V70" s="108"/>
    </row>
    <row r="71" spans="1:22" ht="4.5" customHeight="1" x14ac:dyDescent="0.3">
      <c r="A71" s="353"/>
      <c r="B71" s="3"/>
      <c r="C71" s="3"/>
      <c r="E71" s="26"/>
      <c r="F71" s="26"/>
      <c r="G71" s="26"/>
      <c r="H71" s="26"/>
      <c r="I71" s="26"/>
      <c r="J71" s="26"/>
      <c r="L71" s="127"/>
      <c r="M71" s="120"/>
      <c r="N71" s="162"/>
      <c r="O71" s="26"/>
      <c r="P71" s="26"/>
      <c r="Q71" s="376"/>
      <c r="R71" s="373"/>
      <c r="S71" s="377"/>
      <c r="T71" s="108"/>
      <c r="U71" s="108"/>
      <c r="V71" s="108"/>
    </row>
    <row r="72" spans="1:22" ht="12.75" customHeight="1" x14ac:dyDescent="0.3">
      <c r="A72" s="353"/>
      <c r="B72" s="3"/>
      <c r="C72" s="3"/>
      <c r="F72" s="26" t="s">
        <v>418</v>
      </c>
      <c r="G72" s="26"/>
      <c r="H72" s="26"/>
      <c r="I72" s="26"/>
      <c r="J72" s="26"/>
      <c r="K72" s="202" t="s">
        <v>348</v>
      </c>
      <c r="L72" s="313"/>
      <c r="M72" s="3" t="s">
        <v>181</v>
      </c>
      <c r="N72" s="40"/>
      <c r="O72" s="26"/>
      <c r="P72" s="26"/>
      <c r="Q72" s="376"/>
      <c r="R72" s="373"/>
      <c r="S72" s="377"/>
      <c r="T72" s="108"/>
      <c r="U72" s="108"/>
      <c r="V72" s="108"/>
    </row>
    <row r="73" spans="1:22" ht="4.5" customHeight="1" x14ac:dyDescent="0.3">
      <c r="A73" s="328"/>
      <c r="B73" s="350"/>
      <c r="D73" s="26"/>
      <c r="E73" s="26"/>
      <c r="F73" s="26"/>
      <c r="G73" s="26"/>
      <c r="H73" s="26"/>
      <c r="I73" s="26"/>
      <c r="J73" s="26"/>
      <c r="L73" s="127"/>
      <c r="M73" s="120"/>
      <c r="N73" s="162"/>
      <c r="O73" s="26"/>
      <c r="P73" s="26"/>
      <c r="Q73" s="334"/>
      <c r="R73" s="87"/>
      <c r="S73" s="25"/>
    </row>
    <row r="74" spans="1:22" ht="12.75" customHeight="1" x14ac:dyDescent="0.3">
      <c r="A74" s="350"/>
      <c r="D74" s="26" t="s">
        <v>495</v>
      </c>
      <c r="F74" s="26"/>
      <c r="G74" s="26"/>
      <c r="H74" s="26"/>
      <c r="I74" s="26"/>
      <c r="J74" s="26"/>
      <c r="L74" s="349" t="s">
        <v>347</v>
      </c>
      <c r="M74" s="119"/>
      <c r="N74" s="361">
        <f>IF(OR(N(L65)&gt;0,N(L67)&gt;0),(N(L65)+N(L67))*1.48,N(L70)+N(L72))</f>
        <v>0</v>
      </c>
      <c r="O74" s="26" t="s">
        <v>181</v>
      </c>
      <c r="P74" s="26"/>
      <c r="Q74" s="334"/>
      <c r="R74" s="87"/>
      <c r="S74" s="25"/>
    </row>
    <row r="75" spans="1:22" ht="3.75" customHeight="1" x14ac:dyDescent="0.3">
      <c r="A75" s="350"/>
      <c r="D75" s="26"/>
      <c r="F75" s="26"/>
      <c r="G75" s="26"/>
      <c r="H75" s="26"/>
      <c r="I75" s="26"/>
      <c r="J75" s="26"/>
      <c r="L75" s="349"/>
      <c r="M75" s="119"/>
      <c r="N75" s="378"/>
      <c r="O75" s="26"/>
      <c r="P75" s="26"/>
      <c r="Q75" s="334"/>
      <c r="R75" s="87"/>
      <c r="S75" s="25"/>
    </row>
    <row r="76" spans="1:22" ht="12.75" customHeight="1" x14ac:dyDescent="0.3">
      <c r="A76" s="354"/>
      <c r="B76" s="380" t="s">
        <v>419</v>
      </c>
      <c r="C76" s="381" t="s">
        <v>444</v>
      </c>
      <c r="D76" s="188"/>
      <c r="E76" s="382"/>
      <c r="F76" s="382"/>
      <c r="G76" s="382"/>
      <c r="H76" s="188"/>
      <c r="I76" s="188"/>
      <c r="J76" s="188"/>
      <c r="K76" s="188"/>
      <c r="L76" s="188"/>
      <c r="M76" s="383"/>
      <c r="O76" s="26"/>
      <c r="P76" s="26"/>
      <c r="Q76" s="334"/>
      <c r="R76" s="87"/>
      <c r="S76" s="25"/>
    </row>
    <row r="77" spans="1:22" ht="12.75" customHeight="1" x14ac:dyDescent="0.3">
      <c r="A77" s="353"/>
      <c r="B77" s="384"/>
      <c r="C77" s="385" t="s">
        <v>445</v>
      </c>
      <c r="D77" s="108"/>
      <c r="E77" s="386"/>
      <c r="F77" s="386"/>
      <c r="G77" s="386"/>
      <c r="H77" s="108"/>
      <c r="I77" s="108"/>
      <c r="J77" s="108"/>
      <c r="K77" s="108"/>
      <c r="L77" s="108"/>
      <c r="M77" s="314"/>
      <c r="O77" s="26"/>
      <c r="P77" s="26"/>
      <c r="Q77" s="334"/>
      <c r="R77" s="87"/>
      <c r="S77" s="25"/>
    </row>
    <row r="78" spans="1:22" ht="12.75" customHeight="1" x14ac:dyDescent="0.3">
      <c r="A78" s="328"/>
      <c r="B78" s="387"/>
      <c r="C78" s="388" t="s">
        <v>446</v>
      </c>
      <c r="D78" s="109"/>
      <c r="E78" s="389"/>
      <c r="F78" s="389"/>
      <c r="G78" s="389"/>
      <c r="H78" s="109"/>
      <c r="I78" s="109"/>
      <c r="J78" s="109"/>
      <c r="K78" s="109"/>
      <c r="L78" s="109"/>
      <c r="M78" s="315"/>
      <c r="O78" s="26"/>
      <c r="P78" s="26"/>
      <c r="Q78" s="334"/>
      <c r="R78" s="87"/>
      <c r="S78" s="25"/>
    </row>
    <row r="79" spans="1:22" ht="12.75" customHeight="1" x14ac:dyDescent="0.3">
      <c r="A79" s="328"/>
      <c r="O79" s="26"/>
      <c r="P79" s="26"/>
      <c r="Q79" s="334"/>
      <c r="R79" s="87"/>
      <c r="S79" s="25"/>
    </row>
    <row r="80" spans="1:22" ht="4.5" customHeight="1" x14ac:dyDescent="0.3">
      <c r="A80" s="427"/>
      <c r="B80" s="428"/>
      <c r="C80" s="428"/>
      <c r="D80" s="403"/>
      <c r="E80" s="403"/>
      <c r="F80" s="403"/>
      <c r="G80" s="403"/>
      <c r="H80" s="403"/>
      <c r="I80" s="403"/>
      <c r="J80" s="403"/>
      <c r="K80" s="403"/>
      <c r="L80" s="403"/>
      <c r="M80" s="403"/>
      <c r="N80" s="403"/>
      <c r="O80" s="406"/>
      <c r="P80" s="26"/>
      <c r="Q80" s="334"/>
      <c r="R80" s="87"/>
      <c r="S80" s="25"/>
    </row>
    <row r="81" spans="1:19" ht="12.75" customHeight="1" x14ac:dyDescent="0.3">
      <c r="A81" s="429">
        <v>10</v>
      </c>
      <c r="B81" s="408" t="s">
        <v>436</v>
      </c>
      <c r="C81" s="409"/>
      <c r="D81" s="410" t="s">
        <v>448</v>
      </c>
      <c r="E81" s="411"/>
      <c r="F81" s="411"/>
      <c r="G81" s="411"/>
      <c r="H81" s="411"/>
      <c r="I81" s="411"/>
      <c r="J81" s="411"/>
      <c r="K81" s="411"/>
      <c r="L81" s="411"/>
      <c r="M81" s="411"/>
      <c r="N81" s="411"/>
      <c r="O81" s="430"/>
      <c r="P81" s="26"/>
      <c r="Q81" s="334"/>
      <c r="R81" s="87"/>
      <c r="S81" s="25"/>
    </row>
    <row r="82" spans="1:19" ht="12.75" customHeight="1" x14ac:dyDescent="0.3">
      <c r="A82" s="431"/>
      <c r="B82" s="432" t="s">
        <v>462</v>
      </c>
      <c r="C82" s="409"/>
      <c r="D82" s="411"/>
      <c r="E82" s="410" t="s">
        <v>441</v>
      </c>
      <c r="F82" s="410"/>
      <c r="G82" s="410"/>
      <c r="H82" s="410"/>
      <c r="I82" s="410"/>
      <c r="J82" s="410"/>
      <c r="K82" s="411"/>
      <c r="L82" s="418" t="s">
        <v>274</v>
      </c>
      <c r="M82" s="411"/>
      <c r="N82" s="361">
        <f>IF((N62-N74)&gt;0,(N62-N74)*L46*6.3,0)</f>
        <v>884.52</v>
      </c>
      <c r="O82" s="414" t="s">
        <v>182</v>
      </c>
      <c r="P82" s="26"/>
      <c r="Q82" s="334"/>
      <c r="R82" s="87"/>
      <c r="S82" s="25"/>
    </row>
    <row r="83" spans="1:19" ht="3.75" customHeight="1" x14ac:dyDescent="0.3">
      <c r="A83" s="433"/>
      <c r="B83" s="434"/>
      <c r="C83" s="435"/>
      <c r="D83" s="422"/>
      <c r="E83" s="423"/>
      <c r="F83" s="423"/>
      <c r="G83" s="423"/>
      <c r="H83" s="423"/>
      <c r="I83" s="423"/>
      <c r="J83" s="423"/>
      <c r="K83" s="422"/>
      <c r="L83" s="424"/>
      <c r="M83" s="422"/>
      <c r="N83" s="425"/>
      <c r="O83" s="426"/>
      <c r="P83" s="26"/>
      <c r="Q83" s="334"/>
      <c r="R83" s="87"/>
      <c r="S83" s="25"/>
    </row>
    <row r="84" spans="1:19" ht="12.75" customHeight="1" x14ac:dyDescent="0.3">
      <c r="A84" s="110"/>
      <c r="B84" s="23"/>
      <c r="C84" s="23"/>
      <c r="D84" s="202" t="s">
        <v>501</v>
      </c>
      <c r="E84" s="26" t="s">
        <v>515</v>
      </c>
      <c r="F84" s="26"/>
      <c r="G84" s="26"/>
      <c r="H84" s="26"/>
      <c r="I84" s="26"/>
      <c r="J84" s="26"/>
      <c r="L84" s="202"/>
      <c r="M84" s="125"/>
      <c r="N84" s="38"/>
      <c r="O84" s="26"/>
      <c r="P84" s="26"/>
      <c r="Q84" s="334"/>
      <c r="R84" s="87"/>
      <c r="S84" s="25"/>
    </row>
    <row r="85" spans="1:19" ht="12.75" customHeight="1" x14ac:dyDescent="0.3">
      <c r="A85" s="493"/>
      <c r="B85" s="495"/>
      <c r="C85" s="495"/>
      <c r="D85" s="306"/>
      <c r="E85" s="108" t="s">
        <v>516</v>
      </c>
      <c r="F85" s="204"/>
      <c r="G85" s="204"/>
      <c r="H85" s="204"/>
      <c r="I85" s="204"/>
      <c r="J85" s="204"/>
      <c r="K85" s="108"/>
      <c r="L85" s="496"/>
      <c r="M85" s="125"/>
      <c r="N85" s="497"/>
      <c r="O85" s="204"/>
      <c r="P85" s="26"/>
      <c r="Q85" s="334"/>
      <c r="R85" s="87"/>
      <c r="S85" s="25"/>
    </row>
    <row r="86" spans="1:19" ht="6" customHeight="1" thickBot="1" x14ac:dyDescent="0.35">
      <c r="A86" s="195"/>
      <c r="B86" s="196"/>
      <c r="C86" s="196"/>
      <c r="D86" s="490"/>
      <c r="E86" s="198"/>
      <c r="F86" s="197"/>
      <c r="G86" s="197"/>
      <c r="H86" s="197"/>
      <c r="I86" s="197"/>
      <c r="J86" s="197"/>
      <c r="K86" s="198"/>
      <c r="L86" s="491"/>
      <c r="M86" s="199"/>
      <c r="N86" s="492"/>
      <c r="O86" s="197"/>
      <c r="P86" s="26"/>
      <c r="Q86" s="334"/>
      <c r="R86" s="87"/>
      <c r="S86" s="25"/>
    </row>
    <row r="87" spans="1:19" ht="4.5" customHeight="1" x14ac:dyDescent="0.3">
      <c r="A87" s="110"/>
      <c r="B87" s="23"/>
      <c r="C87" s="23"/>
      <c r="D87" s="27"/>
      <c r="F87" s="26"/>
      <c r="G87" s="26"/>
      <c r="H87" s="26"/>
      <c r="I87" s="26"/>
      <c r="J87" s="26"/>
      <c r="L87" s="202"/>
      <c r="M87" s="125"/>
      <c r="N87" s="38"/>
      <c r="O87" s="26"/>
      <c r="P87" s="26"/>
      <c r="Q87" s="334"/>
      <c r="R87" s="87"/>
      <c r="S87" s="25"/>
    </row>
    <row r="88" spans="1:19" ht="12.75" customHeight="1" x14ac:dyDescent="0.3">
      <c r="A88" s="351" t="s">
        <v>518</v>
      </c>
      <c r="B88" s="23"/>
      <c r="C88" s="23"/>
      <c r="D88" s="27"/>
      <c r="F88" s="26"/>
      <c r="G88" s="26"/>
      <c r="H88" s="26"/>
      <c r="I88" s="26"/>
      <c r="J88" s="26"/>
      <c r="L88" s="202"/>
      <c r="M88" s="125"/>
      <c r="N88" s="38"/>
      <c r="O88" s="26"/>
      <c r="P88" s="26"/>
      <c r="Q88" s="334"/>
      <c r="R88" s="87"/>
      <c r="S88" s="25"/>
    </row>
    <row r="89" spans="1:19" ht="6" customHeight="1" x14ac:dyDescent="0.3">
      <c r="A89" s="110"/>
      <c r="B89" s="23"/>
      <c r="C89" s="23"/>
      <c r="D89" s="27"/>
      <c r="F89" s="26"/>
      <c r="G89" s="26"/>
      <c r="H89" s="26"/>
      <c r="I89" s="26"/>
      <c r="J89" s="26"/>
      <c r="L89" s="202"/>
      <c r="M89" s="125"/>
      <c r="N89" s="38"/>
      <c r="O89" s="26"/>
      <c r="P89" s="26"/>
      <c r="Q89" s="334"/>
      <c r="R89" s="87"/>
      <c r="S89" s="25"/>
    </row>
    <row r="90" spans="1:19" ht="4.5" customHeight="1" x14ac:dyDescent="0.3">
      <c r="A90" s="499"/>
      <c r="B90" s="401"/>
      <c r="C90" s="401"/>
      <c r="D90" s="488"/>
      <c r="E90" s="403"/>
      <c r="F90" s="402"/>
      <c r="G90" s="402"/>
      <c r="H90" s="402"/>
      <c r="I90" s="402"/>
      <c r="J90" s="402"/>
      <c r="K90" s="403"/>
      <c r="L90" s="489"/>
      <c r="M90" s="403"/>
      <c r="N90" s="405"/>
      <c r="O90" s="406"/>
      <c r="P90" s="26"/>
      <c r="Q90" s="334"/>
      <c r="R90" s="87"/>
      <c r="S90" s="25"/>
    </row>
    <row r="91" spans="1:19" ht="12.75" customHeight="1" x14ac:dyDescent="0.3">
      <c r="A91" s="429">
        <v>11</v>
      </c>
      <c r="B91" s="432" t="s">
        <v>520</v>
      </c>
      <c r="C91" s="417"/>
      <c r="D91" s="410" t="s">
        <v>522</v>
      </c>
      <c r="E91" s="410"/>
      <c r="F91" s="410"/>
      <c r="G91" s="410"/>
      <c r="H91" s="410"/>
      <c r="I91" s="411"/>
      <c r="J91" s="411"/>
      <c r="K91" s="411"/>
      <c r="L91" s="411"/>
      <c r="M91" s="411"/>
      <c r="N91" s="411"/>
      <c r="O91" s="430"/>
      <c r="P91" s="26"/>
      <c r="Q91" s="334"/>
      <c r="R91" s="87"/>
      <c r="S91" s="25"/>
    </row>
    <row r="92" spans="1:19" ht="12.75" customHeight="1" x14ac:dyDescent="0.3">
      <c r="A92" s="429"/>
      <c r="B92" s="432" t="s">
        <v>519</v>
      </c>
      <c r="C92" s="417"/>
      <c r="D92" s="410"/>
      <c r="E92" s="410" t="s">
        <v>521</v>
      </c>
      <c r="F92" s="410"/>
      <c r="G92" s="410"/>
      <c r="H92" s="410"/>
      <c r="I92" s="411"/>
      <c r="J92" s="411"/>
      <c r="K92" s="411"/>
      <c r="L92" s="486" t="s">
        <v>407</v>
      </c>
      <c r="M92" s="411"/>
      <c r="N92" s="362">
        <f>SUM(N82,N37)</f>
        <v>1061.424</v>
      </c>
      <c r="O92" s="430"/>
      <c r="P92" s="26"/>
      <c r="Q92" s="334"/>
      <c r="R92" s="87"/>
      <c r="S92" s="25"/>
    </row>
    <row r="93" spans="1:19" ht="4.5" customHeight="1" x14ac:dyDescent="0.3">
      <c r="A93" s="500"/>
      <c r="B93" s="434"/>
      <c r="C93" s="421"/>
      <c r="D93" s="423"/>
      <c r="E93" s="423"/>
      <c r="F93" s="423"/>
      <c r="G93" s="423"/>
      <c r="H93" s="423"/>
      <c r="I93" s="422"/>
      <c r="J93" s="422"/>
      <c r="K93" s="422"/>
      <c r="L93" s="487"/>
      <c r="M93" s="487"/>
      <c r="N93" s="487"/>
      <c r="O93" s="501"/>
      <c r="P93" s="26"/>
      <c r="Q93" s="334"/>
      <c r="R93" s="87"/>
      <c r="S93" s="25"/>
    </row>
    <row r="94" spans="1:19" ht="7.5" customHeight="1" x14ac:dyDescent="0.3">
      <c r="A94" s="110"/>
      <c r="B94" s="23"/>
      <c r="C94" s="23"/>
      <c r="D94" s="27"/>
      <c r="F94" s="26"/>
      <c r="G94" s="26"/>
      <c r="H94" s="26"/>
      <c r="I94" s="26"/>
      <c r="J94" s="26"/>
      <c r="L94" s="202"/>
      <c r="M94" s="125"/>
      <c r="N94" s="38"/>
      <c r="O94" s="26"/>
      <c r="P94" s="26"/>
      <c r="Q94" s="334"/>
      <c r="R94" s="87"/>
      <c r="S94" s="25"/>
    </row>
    <row r="95" spans="1:19" ht="3.75" customHeight="1" thickBot="1" x14ac:dyDescent="0.35">
      <c r="A95" s="195"/>
      <c r="B95" s="364"/>
      <c r="C95" s="196"/>
      <c r="D95" s="198"/>
      <c r="E95" s="198"/>
      <c r="F95" s="197"/>
      <c r="G95" s="197"/>
      <c r="H95" s="197"/>
      <c r="I95" s="197"/>
      <c r="J95" s="197"/>
      <c r="K95" s="198"/>
      <c r="L95" s="198"/>
      <c r="M95" s="198"/>
      <c r="N95" s="198"/>
      <c r="O95" s="198"/>
      <c r="P95" s="26"/>
      <c r="Q95" s="334"/>
      <c r="R95" s="87"/>
      <c r="S95" s="25"/>
    </row>
    <row r="96" spans="1:19" ht="3.75" customHeight="1" x14ac:dyDescent="0.3">
      <c r="A96" s="493"/>
      <c r="B96" s="494"/>
      <c r="C96" s="495"/>
      <c r="D96" s="108"/>
      <c r="E96" s="108"/>
      <c r="F96" s="204"/>
      <c r="G96" s="204"/>
      <c r="H96" s="204"/>
      <c r="I96" s="204"/>
      <c r="J96" s="204"/>
      <c r="K96" s="108"/>
      <c r="L96" s="108"/>
      <c r="M96" s="108"/>
      <c r="N96" s="108"/>
      <c r="O96" s="108"/>
      <c r="P96" s="26"/>
      <c r="Q96" s="334"/>
      <c r="R96" s="87"/>
      <c r="S96" s="25"/>
    </row>
    <row r="97" spans="1:19" ht="12.75" customHeight="1" x14ac:dyDescent="0.3">
      <c r="A97" s="351" t="s">
        <v>433</v>
      </c>
      <c r="B97" s="23"/>
      <c r="C97" s="23"/>
      <c r="P97" s="26"/>
      <c r="Q97" s="334"/>
      <c r="R97" s="87"/>
      <c r="S97" s="25"/>
    </row>
    <row r="98" spans="1:19" ht="3.75" customHeight="1" x14ac:dyDescent="0.3">
      <c r="A98" s="351"/>
      <c r="B98" s="23"/>
      <c r="C98" s="23"/>
      <c r="P98" s="26"/>
      <c r="Q98" s="334"/>
      <c r="R98" s="87"/>
      <c r="S98" s="25"/>
    </row>
    <row r="99" spans="1:19" ht="3.75" customHeight="1" x14ac:dyDescent="0.3">
      <c r="A99" s="328"/>
      <c r="B99" s="350"/>
      <c r="C99" s="23"/>
      <c r="P99" s="26"/>
      <c r="Q99" s="334"/>
      <c r="R99" s="87"/>
      <c r="S99" s="25"/>
    </row>
    <row r="100" spans="1:19" ht="12.75" customHeight="1" x14ac:dyDescent="0.3">
      <c r="A100" s="328">
        <v>12</v>
      </c>
      <c r="B100" s="350" t="s">
        <v>532</v>
      </c>
      <c r="C100" s="23"/>
      <c r="D100" s="26" t="s">
        <v>410</v>
      </c>
      <c r="E100" s="26"/>
      <c r="G100" s="26"/>
      <c r="H100" s="26"/>
      <c r="I100" s="26"/>
      <c r="J100" s="26"/>
      <c r="K100" s="202" t="s">
        <v>409</v>
      </c>
      <c r="L100" s="313"/>
      <c r="M100" s="126" t="s">
        <v>57</v>
      </c>
      <c r="N100" s="128"/>
      <c r="O100" s="26"/>
      <c r="P100" s="26"/>
      <c r="Q100" s="334"/>
      <c r="R100" s="87"/>
      <c r="S100" s="25"/>
    </row>
    <row r="101" spans="1:19" ht="3.75" customHeight="1" x14ac:dyDescent="0.3">
      <c r="A101" s="392"/>
      <c r="C101" s="23"/>
      <c r="E101" s="26"/>
      <c r="G101" s="26"/>
      <c r="H101" s="26"/>
      <c r="I101" s="26"/>
      <c r="J101" s="26"/>
      <c r="L101" s="38"/>
      <c r="M101" s="119"/>
      <c r="N101" s="162"/>
      <c r="O101" s="26"/>
      <c r="P101" s="26"/>
      <c r="Q101" s="334"/>
      <c r="R101" s="87"/>
      <c r="S101" s="25"/>
    </row>
    <row r="102" spans="1:19" ht="12.75" customHeight="1" x14ac:dyDescent="0.3">
      <c r="A102" s="392"/>
      <c r="B102" s="350" t="s">
        <v>531</v>
      </c>
      <c r="C102" s="23"/>
      <c r="D102" s="26" t="s">
        <v>411</v>
      </c>
      <c r="G102" s="26"/>
      <c r="H102" s="26"/>
      <c r="I102" s="26"/>
      <c r="J102" s="26"/>
      <c r="K102" s="202"/>
      <c r="L102" s="313"/>
      <c r="M102" s="119" t="s">
        <v>182</v>
      </c>
      <c r="N102" s="162"/>
      <c r="O102" s="26"/>
      <c r="P102" s="26"/>
      <c r="Q102" s="334"/>
      <c r="R102" s="87"/>
      <c r="S102" s="25"/>
    </row>
    <row r="103" spans="1:19" ht="12.75" customHeight="1" x14ac:dyDescent="0.3">
      <c r="A103" s="392"/>
      <c r="B103" s="350"/>
      <c r="C103" s="23"/>
      <c r="E103" s="26" t="s">
        <v>431</v>
      </c>
      <c r="H103" s="27"/>
      <c r="I103" s="26"/>
      <c r="J103" s="26"/>
      <c r="L103" s="363" t="s">
        <v>408</v>
      </c>
      <c r="M103" s="125"/>
      <c r="N103" s="362">
        <f>IF(N(L100)&gt;0,0.0142464*N(L100),0)+IF(N(L102),N(L102),0)</f>
        <v>0</v>
      </c>
      <c r="O103" s="26" t="s">
        <v>182</v>
      </c>
      <c r="P103" s="26"/>
      <c r="Q103" s="335"/>
      <c r="R103" s="87"/>
      <c r="S103" s="25"/>
    </row>
    <row r="104" spans="1:19" ht="12.75" customHeight="1" x14ac:dyDescent="0.3">
      <c r="A104" s="392"/>
      <c r="B104" s="350"/>
      <c r="C104" s="23"/>
      <c r="D104" s="26"/>
      <c r="E104" s="26"/>
      <c r="F104" s="26"/>
      <c r="G104" s="26"/>
      <c r="H104" s="26"/>
      <c r="I104" s="26"/>
      <c r="J104" s="26"/>
      <c r="L104" s="6"/>
      <c r="M104" s="125"/>
      <c r="N104" s="38"/>
      <c r="O104" s="26"/>
      <c r="P104" s="26"/>
      <c r="Q104" s="334"/>
      <c r="R104" s="87"/>
      <c r="S104" s="25"/>
    </row>
    <row r="105" spans="1:19" ht="3.75" customHeight="1" x14ac:dyDescent="0.3">
      <c r="A105" s="392"/>
      <c r="B105" s="350"/>
      <c r="C105" s="23"/>
      <c r="D105" s="26"/>
      <c r="E105" s="26"/>
      <c r="F105" s="26"/>
      <c r="G105" s="26"/>
      <c r="H105" s="26"/>
      <c r="I105" s="26"/>
      <c r="J105" s="26"/>
      <c r="L105" s="6"/>
      <c r="M105" s="125"/>
      <c r="N105" s="38"/>
      <c r="O105" s="26"/>
      <c r="P105" s="26"/>
      <c r="Q105" s="334"/>
      <c r="R105" s="87"/>
      <c r="S105" s="25"/>
    </row>
    <row r="106" spans="1:19" ht="3.75" customHeight="1" x14ac:dyDescent="0.3">
      <c r="A106" s="436"/>
      <c r="B106" s="437"/>
      <c r="C106" s="438"/>
      <c r="D106" s="439"/>
      <c r="E106" s="439"/>
      <c r="F106" s="439"/>
      <c r="G106" s="439"/>
      <c r="H106" s="439"/>
      <c r="I106" s="439"/>
      <c r="J106" s="439"/>
      <c r="K106" s="440"/>
      <c r="L106" s="441"/>
      <c r="M106" s="440"/>
      <c r="N106" s="442"/>
      <c r="O106" s="443"/>
      <c r="P106" s="26"/>
      <c r="Q106" s="334"/>
      <c r="R106" s="87"/>
      <c r="S106" s="25"/>
    </row>
    <row r="107" spans="1:19" ht="12.75" customHeight="1" x14ac:dyDescent="0.3">
      <c r="A107" s="444">
        <v>13</v>
      </c>
      <c r="B107" s="445" t="s">
        <v>433</v>
      </c>
      <c r="C107" s="446"/>
      <c r="D107" s="448"/>
      <c r="E107" s="448" t="s">
        <v>534</v>
      </c>
      <c r="F107" s="448"/>
      <c r="G107" s="448"/>
      <c r="H107" s="448"/>
      <c r="I107" s="448"/>
      <c r="J107" s="448"/>
      <c r="K107" s="447"/>
      <c r="L107" s="474"/>
      <c r="M107" s="447"/>
      <c r="N107" s="498"/>
      <c r="O107" s="450"/>
      <c r="P107" s="26"/>
      <c r="Q107" s="334"/>
      <c r="R107" s="87"/>
      <c r="S107" s="25"/>
    </row>
    <row r="108" spans="1:19" ht="12" customHeight="1" x14ac:dyDescent="0.3">
      <c r="A108" s="444"/>
      <c r="B108" s="445"/>
      <c r="C108" s="446"/>
      <c r="D108" s="447"/>
      <c r="E108" s="448"/>
      <c r="F108" s="448" t="s">
        <v>533</v>
      </c>
      <c r="G108" s="448"/>
      <c r="H108" s="448"/>
      <c r="I108" s="448"/>
      <c r="J108" s="448"/>
      <c r="K108" s="447"/>
      <c r="L108" s="449" t="s">
        <v>517</v>
      </c>
      <c r="M108" s="447"/>
      <c r="N108" s="393">
        <f>SUM(N(N92),-N(N103))</f>
        <v>1061.424</v>
      </c>
      <c r="O108" s="450" t="s">
        <v>182</v>
      </c>
      <c r="P108" s="26"/>
      <c r="Q108" s="335"/>
      <c r="R108" s="87"/>
      <c r="S108" s="25"/>
    </row>
    <row r="109" spans="1:19" ht="3.75" customHeight="1" x14ac:dyDescent="0.3">
      <c r="A109" s="451"/>
      <c r="B109" s="452"/>
      <c r="C109" s="453"/>
      <c r="D109" s="454"/>
      <c r="E109" s="455"/>
      <c r="F109" s="455"/>
      <c r="G109" s="455"/>
      <c r="H109" s="455"/>
      <c r="I109" s="455"/>
      <c r="J109" s="455"/>
      <c r="K109" s="454"/>
      <c r="L109" s="456"/>
      <c r="M109" s="454"/>
      <c r="N109" s="457"/>
      <c r="O109" s="458"/>
      <c r="P109" s="26"/>
      <c r="Q109" s="335"/>
      <c r="R109" s="87"/>
      <c r="S109" s="25"/>
    </row>
    <row r="110" spans="1:19" ht="12.75" customHeight="1" thickBot="1" x14ac:dyDescent="0.35">
      <c r="A110" s="195"/>
      <c r="B110" s="196"/>
      <c r="C110" s="196"/>
      <c r="D110" s="197"/>
      <c r="E110" s="197"/>
      <c r="F110" s="197"/>
      <c r="G110" s="197"/>
      <c r="H110" s="197"/>
      <c r="I110" s="197"/>
      <c r="J110" s="197"/>
      <c r="K110" s="198"/>
      <c r="L110" s="154"/>
      <c r="M110" s="199"/>
      <c r="N110" s="208"/>
      <c r="O110" s="197"/>
      <c r="P110" s="26"/>
      <c r="Q110" s="334"/>
      <c r="R110" s="87"/>
      <c r="S110" s="25"/>
    </row>
    <row r="111" spans="1:19" ht="12.75" customHeight="1" x14ac:dyDescent="0.3">
      <c r="A111" s="351" t="s">
        <v>449</v>
      </c>
      <c r="B111" s="23"/>
      <c r="C111" s="23"/>
      <c r="D111" s="26"/>
      <c r="E111" s="26"/>
      <c r="F111" s="26"/>
      <c r="G111" s="26"/>
      <c r="H111" s="26"/>
      <c r="I111" s="26"/>
      <c r="J111" s="26"/>
      <c r="L111" s="6"/>
      <c r="M111" s="125"/>
      <c r="N111" s="132"/>
      <c r="O111" s="26"/>
      <c r="P111" s="26"/>
      <c r="Q111" s="334"/>
      <c r="R111" s="87"/>
      <c r="S111" s="25"/>
    </row>
    <row r="112" spans="1:19" ht="3.75" customHeight="1" x14ac:dyDescent="0.3">
      <c r="A112" s="351"/>
      <c r="B112" s="23"/>
      <c r="C112" s="23"/>
      <c r="D112" s="26"/>
      <c r="E112" s="26"/>
      <c r="F112" s="26"/>
      <c r="G112" s="26"/>
      <c r="H112" s="26"/>
      <c r="I112" s="26"/>
      <c r="J112" s="26"/>
      <c r="L112" s="6"/>
      <c r="M112" s="125"/>
      <c r="N112" s="132"/>
      <c r="O112" s="26"/>
      <c r="P112" s="26"/>
      <c r="Q112" s="334"/>
      <c r="R112" s="87"/>
      <c r="S112" s="25"/>
    </row>
    <row r="113" spans="1:19" ht="12.75" customHeight="1" x14ac:dyDescent="0.3">
      <c r="A113" s="328">
        <v>14</v>
      </c>
      <c r="B113" s="350" t="s">
        <v>420</v>
      </c>
      <c r="C113" s="23"/>
      <c r="D113" s="164" t="s">
        <v>343</v>
      </c>
      <c r="E113" s="26"/>
      <c r="F113" s="26"/>
      <c r="G113" s="26"/>
      <c r="H113" s="26"/>
      <c r="I113" s="26"/>
      <c r="J113" s="26"/>
      <c r="K113" s="26"/>
      <c r="L113" s="349" t="s">
        <v>313</v>
      </c>
      <c r="M113" s="26"/>
      <c r="N113" s="362">
        <f>N16*0.036*0.16</f>
        <v>28.8</v>
      </c>
      <c r="O113" s="26" t="s">
        <v>246</v>
      </c>
      <c r="P113" s="26"/>
      <c r="Q113" s="335"/>
      <c r="R113" s="87"/>
      <c r="S113" s="25"/>
    </row>
    <row r="114" spans="1:19" ht="3.75" customHeight="1" x14ac:dyDescent="0.3">
      <c r="A114" s="328"/>
      <c r="B114" s="350"/>
      <c r="C114" s="23"/>
      <c r="D114" s="39"/>
      <c r="E114" s="26"/>
      <c r="F114" s="26"/>
      <c r="G114" s="26"/>
      <c r="H114" s="26"/>
      <c r="I114" s="26"/>
      <c r="J114" s="26"/>
      <c r="K114" s="26"/>
      <c r="L114" s="26"/>
      <c r="M114" s="26"/>
      <c r="N114" s="162"/>
      <c r="O114" s="26"/>
      <c r="P114" s="26"/>
      <c r="Q114" s="334"/>
      <c r="R114" s="87"/>
      <c r="S114" s="25"/>
    </row>
    <row r="115" spans="1:19" ht="12.75" customHeight="1" x14ac:dyDescent="0.3">
      <c r="A115" s="328">
        <v>15</v>
      </c>
      <c r="B115" s="351" t="s">
        <v>247</v>
      </c>
      <c r="C115" s="23"/>
      <c r="D115" s="164" t="s">
        <v>314</v>
      </c>
      <c r="E115" s="26"/>
      <c r="F115" s="26"/>
      <c r="G115" s="26"/>
      <c r="H115" s="26"/>
      <c r="I115" s="26"/>
      <c r="J115" s="26"/>
      <c r="K115" s="26"/>
      <c r="L115" s="26"/>
      <c r="M115" s="26"/>
      <c r="N115" s="162"/>
      <c r="O115" s="26"/>
      <c r="P115" s="26"/>
      <c r="Q115" s="334"/>
      <c r="R115" s="87"/>
      <c r="S115" s="25"/>
    </row>
    <row r="116" spans="1:19" ht="12.75" customHeight="1" x14ac:dyDescent="0.3">
      <c r="A116" s="353"/>
      <c r="B116" s="353"/>
      <c r="C116" s="3"/>
      <c r="E116" s="26" t="s">
        <v>535</v>
      </c>
      <c r="G116" s="26"/>
      <c r="H116" s="26"/>
      <c r="I116" s="26"/>
      <c r="J116" s="26"/>
      <c r="K116" s="203" t="s">
        <v>344</v>
      </c>
      <c r="L116" s="313"/>
      <c r="M116" s="26" t="s">
        <v>181</v>
      </c>
      <c r="P116" s="26"/>
      <c r="Q116" s="334"/>
      <c r="R116" s="87"/>
      <c r="S116" s="25"/>
    </row>
    <row r="117" spans="1:19" ht="2.25" customHeight="1" x14ac:dyDescent="0.3">
      <c r="A117" s="328"/>
      <c r="B117" s="350"/>
      <c r="C117" s="23"/>
      <c r="D117" s="39"/>
      <c r="E117" s="26"/>
      <c r="F117" s="26"/>
      <c r="G117" s="26"/>
      <c r="H117" s="26"/>
      <c r="I117" s="26"/>
      <c r="J117" s="26"/>
      <c r="K117" s="26"/>
      <c r="L117" s="26"/>
      <c r="M117" s="26"/>
      <c r="N117" s="162"/>
      <c r="O117" s="26"/>
      <c r="P117" s="26"/>
      <c r="Q117" s="334"/>
      <c r="R117" s="87"/>
      <c r="S117" s="25"/>
    </row>
    <row r="118" spans="1:19" ht="12.75" customHeight="1" x14ac:dyDescent="0.3">
      <c r="A118" s="328"/>
      <c r="B118" s="350"/>
      <c r="C118" s="23"/>
      <c r="D118" s="164" t="s">
        <v>342</v>
      </c>
      <c r="E118" s="26"/>
      <c r="F118" s="26"/>
      <c r="G118" s="26"/>
      <c r="H118" s="26"/>
      <c r="I118" s="26"/>
      <c r="J118" s="26"/>
      <c r="K118" s="26"/>
      <c r="L118" s="203" t="s">
        <v>251</v>
      </c>
      <c r="M118" s="26"/>
      <c r="N118" s="129">
        <f>IF(ISNUMBER(L116),L116*0.05,0.05*$N$62)</f>
        <v>8.7750000000000004</v>
      </c>
      <c r="O118" s="26" t="s">
        <v>246</v>
      </c>
      <c r="P118" s="26"/>
      <c r="Q118" s="335"/>
      <c r="R118" s="87"/>
      <c r="S118" s="25"/>
    </row>
    <row r="119" spans="1:19" ht="2.25" customHeight="1" x14ac:dyDescent="0.3">
      <c r="A119" s="328"/>
      <c r="B119" s="350"/>
      <c r="C119" s="23"/>
      <c r="D119" s="39"/>
      <c r="E119" s="26"/>
      <c r="F119" s="26"/>
      <c r="G119" s="26"/>
      <c r="H119" s="26"/>
      <c r="I119" s="26"/>
      <c r="J119" s="26"/>
      <c r="K119" s="26"/>
      <c r="L119" s="203"/>
      <c r="M119" s="26"/>
      <c r="N119" s="162"/>
      <c r="O119" s="26"/>
      <c r="P119" s="26"/>
      <c r="Q119" s="334"/>
      <c r="R119" s="87"/>
      <c r="S119" s="25"/>
    </row>
    <row r="120" spans="1:19" ht="12.75" customHeight="1" x14ac:dyDescent="0.3">
      <c r="A120" s="328"/>
      <c r="B120" s="350"/>
      <c r="C120" s="23"/>
      <c r="D120" s="164" t="s">
        <v>341</v>
      </c>
      <c r="E120" s="26"/>
      <c r="F120" s="26"/>
      <c r="G120" s="26"/>
      <c r="H120" s="26"/>
      <c r="I120" s="26"/>
      <c r="J120" s="26"/>
      <c r="K120" s="26"/>
      <c r="L120" s="203" t="s">
        <v>252</v>
      </c>
      <c r="M120" s="26"/>
      <c r="N120" s="163">
        <v>0</v>
      </c>
      <c r="O120" s="26" t="s">
        <v>246</v>
      </c>
      <c r="P120" s="26"/>
      <c r="Q120" s="335"/>
      <c r="R120" s="87"/>
      <c r="S120" s="25"/>
    </row>
    <row r="121" spans="1:19" ht="2.25" customHeight="1" x14ac:dyDescent="0.3">
      <c r="A121" s="328"/>
      <c r="B121" s="350"/>
      <c r="C121" s="23"/>
      <c r="D121" s="40"/>
      <c r="E121" s="26"/>
      <c r="F121" s="26"/>
      <c r="G121" s="26"/>
      <c r="H121" s="26"/>
      <c r="I121" s="26"/>
      <c r="J121" s="26"/>
      <c r="K121" s="26"/>
      <c r="L121" s="203"/>
      <c r="M121" s="26"/>
      <c r="N121" s="162"/>
      <c r="O121" s="26"/>
      <c r="P121" s="26"/>
      <c r="Q121" s="334"/>
      <c r="R121" s="87"/>
      <c r="S121" s="25"/>
    </row>
    <row r="122" spans="1:19" ht="12.75" customHeight="1" x14ac:dyDescent="0.3">
      <c r="A122" s="328"/>
      <c r="B122" s="350"/>
      <c r="C122" s="23"/>
      <c r="D122" s="164" t="s">
        <v>315</v>
      </c>
      <c r="E122" s="26"/>
      <c r="F122" s="26"/>
      <c r="G122" s="26"/>
      <c r="H122" s="26"/>
      <c r="I122" s="26"/>
      <c r="J122" s="26"/>
      <c r="K122" s="26"/>
      <c r="L122" s="349" t="s">
        <v>316</v>
      </c>
      <c r="M122" s="26"/>
      <c r="N122" s="398">
        <f>SUM(N118,N120)</f>
        <v>8.7750000000000004</v>
      </c>
      <c r="O122" s="26" t="s">
        <v>246</v>
      </c>
      <c r="P122" s="26"/>
      <c r="Q122" s="335"/>
      <c r="R122" s="87"/>
      <c r="S122" s="25"/>
    </row>
    <row r="123" spans="1:19" ht="3.75" customHeight="1" x14ac:dyDescent="0.3">
      <c r="A123" s="328"/>
      <c r="B123" s="350"/>
      <c r="C123" s="23"/>
      <c r="D123" s="40"/>
      <c r="E123" s="26"/>
      <c r="F123" s="26"/>
      <c r="G123" s="26"/>
      <c r="H123" s="26"/>
      <c r="I123" s="26"/>
      <c r="J123" s="26"/>
      <c r="K123" s="26"/>
      <c r="L123" s="26"/>
      <c r="M123" s="26"/>
      <c r="N123" s="162"/>
      <c r="O123" s="26"/>
      <c r="P123" s="26"/>
      <c r="Q123" s="334"/>
      <c r="R123" s="87"/>
      <c r="S123" s="25"/>
    </row>
    <row r="124" spans="1:19" ht="12.75" customHeight="1" x14ac:dyDescent="0.3">
      <c r="A124" s="328">
        <v>16</v>
      </c>
      <c r="B124" s="350" t="s">
        <v>421</v>
      </c>
      <c r="C124" s="23"/>
      <c r="E124" s="26"/>
      <c r="F124" s="26"/>
      <c r="G124" s="26"/>
      <c r="H124" s="26"/>
      <c r="I124" s="26"/>
      <c r="J124" s="26"/>
      <c r="K124" s="26"/>
      <c r="M124" s="26"/>
      <c r="N124" s="162"/>
      <c r="O124" s="26"/>
      <c r="P124" s="26"/>
      <c r="Q124" s="334"/>
      <c r="R124" s="87"/>
      <c r="S124" s="25"/>
    </row>
    <row r="125" spans="1:19" ht="12.75" customHeight="1" x14ac:dyDescent="0.3">
      <c r="A125" s="328"/>
      <c r="B125" s="350"/>
      <c r="C125" s="23"/>
      <c r="D125" s="200" t="s">
        <v>317</v>
      </c>
      <c r="E125" s="26"/>
      <c r="F125" s="26"/>
      <c r="G125" s="26"/>
      <c r="H125" s="26"/>
      <c r="I125" s="313"/>
      <c r="J125" s="26" t="s">
        <v>497</v>
      </c>
      <c r="L125" s="203" t="s">
        <v>270</v>
      </c>
      <c r="M125" s="26"/>
      <c r="N125" s="129">
        <f>IF(SUM($I$125,$I$128,$I$130)=0,$N$113-$N$122,IF(ISNUMBER(I125),I125/100*($N$113-$N$122),0))</f>
        <v>20.024999999999999</v>
      </c>
      <c r="O125" s="26" t="s">
        <v>246</v>
      </c>
      <c r="P125" s="26"/>
      <c r="Q125" s="335"/>
      <c r="R125" s="87"/>
      <c r="S125" s="25"/>
    </row>
    <row r="126" spans="1:19" ht="12.75" customHeight="1" x14ac:dyDescent="0.3">
      <c r="A126" s="328"/>
      <c r="B126" s="350"/>
      <c r="C126" s="23"/>
      <c r="E126" s="40" t="s">
        <v>325</v>
      </c>
      <c r="F126" s="26"/>
      <c r="G126" s="26"/>
      <c r="H126" s="26"/>
      <c r="I126" s="26"/>
      <c r="J126" s="26"/>
      <c r="K126" s="26"/>
      <c r="L126" s="203"/>
      <c r="M126" s="26"/>
      <c r="O126" s="26"/>
      <c r="P126" s="26"/>
      <c r="Q126" s="334"/>
      <c r="R126" s="87"/>
      <c r="S126" s="25"/>
    </row>
    <row r="127" spans="1:19" ht="2.25" customHeight="1" x14ac:dyDescent="0.3">
      <c r="A127" s="328"/>
      <c r="B127" s="350"/>
      <c r="C127" s="23"/>
      <c r="D127" s="40"/>
      <c r="E127" s="26"/>
      <c r="F127" s="26"/>
      <c r="G127" s="26"/>
      <c r="H127" s="26"/>
      <c r="I127" s="26"/>
      <c r="J127" s="26"/>
      <c r="K127" s="26"/>
      <c r="L127" s="26"/>
      <c r="M127" s="26"/>
      <c r="N127" s="162"/>
      <c r="O127" s="26"/>
      <c r="P127" s="26"/>
      <c r="Q127" s="334"/>
      <c r="R127" s="87"/>
      <c r="S127" s="25"/>
    </row>
    <row r="128" spans="1:19" ht="12.75" customHeight="1" x14ac:dyDescent="0.3">
      <c r="A128" s="328"/>
      <c r="B128" s="350"/>
      <c r="C128" s="23"/>
      <c r="D128" s="200" t="s">
        <v>322</v>
      </c>
      <c r="E128" s="26"/>
      <c r="F128" s="26"/>
      <c r="G128" s="26"/>
      <c r="H128" s="26"/>
      <c r="I128" s="313"/>
      <c r="J128" s="26" t="s">
        <v>318</v>
      </c>
      <c r="L128" s="203" t="s">
        <v>319</v>
      </c>
      <c r="M128" s="26"/>
      <c r="N128" s="129">
        <f>IF(SUM($I$125,$I$128,$I$130)=0,0,IF(SUM($I$125,$I$128,$I$130)&lt;&gt;100,"Sum&lt;&gt;100%",IF(ISNUMBER(I128),I128/100*($N$113-$N$122),0)))</f>
        <v>0</v>
      </c>
      <c r="O128" s="26" t="s">
        <v>246</v>
      </c>
      <c r="P128" s="26"/>
      <c r="Q128" s="335"/>
      <c r="R128" s="87"/>
      <c r="S128" s="25"/>
    </row>
    <row r="129" spans="1:19" ht="2.25" customHeight="1" x14ac:dyDescent="0.3">
      <c r="A129" s="328"/>
      <c r="B129" s="350"/>
      <c r="C129" s="23"/>
      <c r="D129" s="40"/>
      <c r="E129" s="26"/>
      <c r="F129" s="26"/>
      <c r="G129" s="26"/>
      <c r="H129" s="26"/>
      <c r="I129" s="26"/>
      <c r="J129" s="26"/>
      <c r="L129" s="26"/>
      <c r="M129" s="26"/>
      <c r="N129" s="162"/>
      <c r="O129" s="26"/>
      <c r="P129" s="26"/>
      <c r="Q129" s="334"/>
      <c r="R129" s="87"/>
      <c r="S129" s="25"/>
    </row>
    <row r="130" spans="1:19" ht="12.75" customHeight="1" x14ac:dyDescent="0.3">
      <c r="A130" s="328"/>
      <c r="B130" s="350"/>
      <c r="C130" s="23"/>
      <c r="D130" s="200" t="s">
        <v>323</v>
      </c>
      <c r="E130" s="26"/>
      <c r="F130" s="26"/>
      <c r="G130" s="26"/>
      <c r="H130" s="26"/>
      <c r="I130" s="313"/>
      <c r="J130" s="26" t="s">
        <v>318</v>
      </c>
      <c r="L130" s="203" t="s">
        <v>320</v>
      </c>
      <c r="M130" s="26"/>
      <c r="N130" s="129">
        <f>IF(SUM($I$125,$I$128,$I$130)=0,0,IF(SUM($I$125,$I$128,$I$130)&lt;&gt;100,"Sum&lt;&gt;100%",IF(ISNUMBER(I130),I130/100*($N$113-$N$122),0)))</f>
        <v>0</v>
      </c>
      <c r="O130" s="26" t="s">
        <v>246</v>
      </c>
      <c r="P130" s="26"/>
      <c r="Q130" s="335"/>
      <c r="R130" s="87"/>
      <c r="S130" s="25"/>
    </row>
    <row r="131" spans="1:19" ht="2.25" customHeight="1" x14ac:dyDescent="0.3">
      <c r="A131" s="328"/>
      <c r="B131" s="350"/>
      <c r="C131" s="23"/>
      <c r="D131" s="40"/>
      <c r="E131" s="26"/>
      <c r="F131" s="26"/>
      <c r="G131" s="26"/>
      <c r="H131" s="26"/>
      <c r="I131" s="26"/>
      <c r="J131" s="26"/>
      <c r="K131" s="26"/>
      <c r="L131" s="26"/>
      <c r="M131" s="26"/>
      <c r="N131" s="162"/>
      <c r="O131" s="26"/>
      <c r="P131" s="26"/>
      <c r="Q131" s="334"/>
      <c r="R131" s="87"/>
      <c r="S131" s="25"/>
    </row>
    <row r="132" spans="1:19" ht="12.75" customHeight="1" x14ac:dyDescent="0.3">
      <c r="A132" s="328"/>
      <c r="B132" s="350"/>
      <c r="C132" s="23"/>
      <c r="E132" s="3" t="s">
        <v>321</v>
      </c>
      <c r="F132" s="26"/>
      <c r="G132" s="26"/>
      <c r="H132" s="26"/>
      <c r="I132" s="26"/>
      <c r="J132" s="26"/>
      <c r="K132" s="26"/>
      <c r="L132" s="395" t="s">
        <v>498</v>
      </c>
      <c r="M132" s="306"/>
      <c r="N132" s="398">
        <f>SUM($N$125,$N$128,$N$130)</f>
        <v>20.024999999999999</v>
      </c>
      <c r="O132" s="27" t="s">
        <v>246</v>
      </c>
      <c r="P132" s="26"/>
      <c r="Q132" s="334"/>
      <c r="R132" s="87"/>
      <c r="S132" s="25"/>
    </row>
    <row r="133" spans="1:19" ht="3.75" customHeight="1" x14ac:dyDescent="0.3">
      <c r="A133" s="328"/>
      <c r="B133" s="350"/>
      <c r="C133" s="23"/>
      <c r="D133" s="39"/>
      <c r="E133" s="26"/>
      <c r="F133" s="26"/>
      <c r="G133" s="26"/>
      <c r="H133" s="26"/>
      <c r="I133" s="26"/>
      <c r="J133" s="26"/>
      <c r="K133" s="26"/>
      <c r="L133" s="26"/>
      <c r="M133" s="26"/>
      <c r="N133" s="131"/>
      <c r="O133" s="26"/>
      <c r="P133" s="26"/>
      <c r="Q133" s="334"/>
      <c r="R133" s="87"/>
      <c r="S133" s="25"/>
    </row>
    <row r="134" spans="1:19" ht="3.75" customHeight="1" x14ac:dyDescent="0.3">
      <c r="A134" s="459"/>
      <c r="B134" s="437"/>
      <c r="C134" s="438"/>
      <c r="D134" s="439"/>
      <c r="E134" s="439"/>
      <c r="F134" s="439"/>
      <c r="G134" s="439"/>
      <c r="H134" s="439"/>
      <c r="I134" s="439"/>
      <c r="J134" s="439"/>
      <c r="K134" s="439"/>
      <c r="L134" s="439"/>
      <c r="M134" s="439"/>
      <c r="N134" s="460"/>
      <c r="O134" s="443"/>
      <c r="P134" s="26"/>
      <c r="Q134" s="334"/>
      <c r="R134" s="87"/>
      <c r="S134" s="25"/>
    </row>
    <row r="135" spans="1:19" ht="12.75" customHeight="1" x14ac:dyDescent="0.3">
      <c r="A135" s="444">
        <v>17</v>
      </c>
      <c r="B135" s="461" t="s">
        <v>442</v>
      </c>
      <c r="C135" s="446"/>
      <c r="D135" s="447"/>
      <c r="E135" s="448" t="s">
        <v>324</v>
      </c>
      <c r="F135" s="448"/>
      <c r="G135" s="448"/>
      <c r="H135" s="448"/>
      <c r="I135" s="448"/>
      <c r="J135" s="448"/>
      <c r="K135" s="448"/>
      <c r="L135" s="462" t="s">
        <v>432</v>
      </c>
      <c r="M135" s="448"/>
      <c r="N135" s="393">
        <f>IF(N28=0,0,(N113-N122-N132)*4.9+N125*4.9+I128*1.2)</f>
        <v>98.122500000000002</v>
      </c>
      <c r="O135" s="450" t="s">
        <v>182</v>
      </c>
      <c r="P135" s="26"/>
      <c r="Q135" s="335"/>
      <c r="R135" s="87"/>
      <c r="S135" s="25"/>
    </row>
    <row r="136" spans="1:19" ht="3.75" customHeight="1" x14ac:dyDescent="0.3">
      <c r="A136" s="451"/>
      <c r="B136" s="463"/>
      <c r="C136" s="453"/>
      <c r="D136" s="454"/>
      <c r="E136" s="455"/>
      <c r="F136" s="455"/>
      <c r="G136" s="455"/>
      <c r="H136" s="455"/>
      <c r="I136" s="455"/>
      <c r="J136" s="455"/>
      <c r="K136" s="455"/>
      <c r="L136" s="464"/>
      <c r="M136" s="455"/>
      <c r="N136" s="457"/>
      <c r="O136" s="458"/>
      <c r="P136" s="26"/>
      <c r="Q136" s="335"/>
      <c r="R136" s="87"/>
      <c r="S136" s="25"/>
    </row>
    <row r="137" spans="1:19" ht="12.75" customHeight="1" thickBot="1" x14ac:dyDescent="0.35">
      <c r="A137" s="328"/>
      <c r="B137" s="350"/>
      <c r="C137" s="23"/>
      <c r="D137" s="26"/>
      <c r="E137" s="26"/>
      <c r="F137" s="26"/>
      <c r="G137" s="26"/>
      <c r="H137" s="26"/>
      <c r="I137" s="26"/>
      <c r="J137" s="26"/>
      <c r="L137" s="6"/>
      <c r="M137" s="125"/>
      <c r="N137" s="132"/>
      <c r="O137" s="26"/>
      <c r="P137" s="26"/>
      <c r="Q137" s="334"/>
      <c r="R137" s="87"/>
      <c r="S137" s="25"/>
    </row>
    <row r="138" spans="1:19" ht="3.75" customHeight="1" x14ac:dyDescent="0.3">
      <c r="A138" s="465"/>
      <c r="B138" s="466"/>
      <c r="C138" s="467"/>
      <c r="D138" s="468"/>
      <c r="E138" s="468"/>
      <c r="F138" s="468"/>
      <c r="G138" s="468"/>
      <c r="H138" s="468"/>
      <c r="I138" s="468"/>
      <c r="J138" s="468"/>
      <c r="K138" s="469"/>
      <c r="L138" s="470"/>
      <c r="M138" s="469"/>
      <c r="N138" s="471"/>
      <c r="O138" s="472"/>
      <c r="P138" s="26"/>
      <c r="Q138" s="334"/>
      <c r="R138" s="87"/>
      <c r="S138" s="25"/>
    </row>
    <row r="139" spans="1:19" ht="12.75" customHeight="1" x14ac:dyDescent="0.3">
      <c r="A139" s="473">
        <v>18</v>
      </c>
      <c r="B139" s="445" t="str">
        <f>"TOTAL GREENHOUSE GAS EMISSIONS FROM "&amp;$C$3</f>
        <v>TOTAL GREENHOUSE GAS EMISSIONS FROM Example STW (Anaerobic lagoon &lt;2m deep) serving 5,000 people</v>
      </c>
      <c r="C139" s="446"/>
      <c r="D139" s="448"/>
      <c r="E139" s="448"/>
      <c r="F139" s="448"/>
      <c r="G139" s="448"/>
      <c r="H139" s="448"/>
      <c r="I139" s="448"/>
      <c r="J139" s="448"/>
      <c r="K139" s="447"/>
      <c r="L139" s="474"/>
      <c r="M139" s="447"/>
      <c r="N139" s="475"/>
      <c r="O139" s="476"/>
      <c r="P139" s="26"/>
      <c r="Q139" s="334"/>
      <c r="R139" s="87"/>
      <c r="S139" s="25"/>
    </row>
    <row r="140" spans="1:19" ht="12.75" customHeight="1" x14ac:dyDescent="0.3">
      <c r="A140" s="477"/>
      <c r="B140" s="447"/>
      <c r="C140" s="446"/>
      <c r="D140" s="448" t="s">
        <v>536</v>
      </c>
      <c r="E140" s="448"/>
      <c r="F140" s="448"/>
      <c r="G140" s="448"/>
      <c r="H140" s="448"/>
      <c r="I140" s="448"/>
      <c r="J140" s="448"/>
      <c r="K140" s="448"/>
      <c r="L140" s="478" t="s">
        <v>537</v>
      </c>
      <c r="M140" s="448"/>
      <c r="N140" s="393">
        <f>SUM($N$108,$N$135)</f>
        <v>1159.5464999999999</v>
      </c>
      <c r="O140" s="476" t="s">
        <v>182</v>
      </c>
      <c r="P140" s="26"/>
      <c r="Q140" s="335"/>
      <c r="R140" s="87"/>
      <c r="S140" s="25"/>
    </row>
    <row r="141" spans="1:19" ht="3.75" customHeight="1" thickBot="1" x14ac:dyDescent="0.35">
      <c r="A141" s="479"/>
      <c r="B141" s="480"/>
      <c r="C141" s="481"/>
      <c r="D141" s="482"/>
      <c r="E141" s="482"/>
      <c r="F141" s="482"/>
      <c r="G141" s="482"/>
      <c r="H141" s="482"/>
      <c r="I141" s="482"/>
      <c r="J141" s="482"/>
      <c r="K141" s="482"/>
      <c r="L141" s="483"/>
      <c r="M141" s="482"/>
      <c r="N141" s="484"/>
      <c r="O141" s="485"/>
      <c r="P141" s="26"/>
      <c r="Q141" s="335"/>
      <c r="R141" s="87"/>
      <c r="S141" s="25"/>
    </row>
    <row r="142" spans="1:19" ht="7.5" customHeight="1" x14ac:dyDescent="0.3">
      <c r="A142" s="38"/>
      <c r="B142" s="23"/>
      <c r="C142" s="23"/>
      <c r="D142" s="26"/>
      <c r="E142" s="26"/>
      <c r="F142" s="26"/>
      <c r="G142" s="26"/>
      <c r="H142" s="26"/>
      <c r="I142" s="26"/>
      <c r="J142" s="26"/>
      <c r="K142" s="26"/>
      <c r="L142" s="26"/>
      <c r="M142" s="119"/>
      <c r="N142" s="26"/>
      <c r="O142" s="26"/>
      <c r="P142" s="26"/>
      <c r="Q142" s="26"/>
      <c r="R142" s="26"/>
      <c r="S142" s="25"/>
    </row>
    <row r="143" spans="1:19" ht="12.75" customHeight="1" x14ac:dyDescent="0.3">
      <c r="A143" s="27" t="s">
        <v>31</v>
      </c>
      <c r="B143" s="23"/>
      <c r="C143" s="23"/>
      <c r="D143" s="26"/>
      <c r="E143" s="26"/>
      <c r="F143" s="26"/>
      <c r="G143" s="26"/>
      <c r="H143" s="26"/>
      <c r="I143" s="26"/>
      <c r="J143" s="26"/>
      <c r="K143" s="26"/>
      <c r="L143" s="26"/>
      <c r="M143" s="119"/>
      <c r="N143" s="26"/>
      <c r="O143" s="26"/>
      <c r="P143" s="26"/>
      <c r="Q143" s="26"/>
      <c r="R143" s="26"/>
      <c r="S143" s="25"/>
    </row>
    <row r="144" spans="1:19" ht="12.75" customHeight="1" x14ac:dyDescent="0.3">
      <c r="A144" s="38" t="s">
        <v>41</v>
      </c>
      <c r="B144" s="26" t="s">
        <v>40</v>
      </c>
      <c r="C144" s="23"/>
      <c r="D144" s="26"/>
      <c r="E144" s="26"/>
      <c r="F144" s="26"/>
      <c r="G144" s="26"/>
      <c r="H144" s="26"/>
      <c r="I144" s="26"/>
      <c r="J144" s="26"/>
      <c r="K144" s="26"/>
      <c r="L144" s="26"/>
      <c r="M144" s="119"/>
      <c r="N144" s="26"/>
      <c r="O144" s="26"/>
      <c r="P144" s="26"/>
      <c r="Q144" s="26"/>
      <c r="R144" s="26"/>
      <c r="S144" s="25"/>
    </row>
    <row r="145" spans="1:19" ht="12.75" customHeight="1" x14ac:dyDescent="0.3">
      <c r="A145" s="38" t="s">
        <v>42</v>
      </c>
      <c r="B145" s="26" t="s">
        <v>478</v>
      </c>
      <c r="C145" s="23"/>
      <c r="D145" s="26"/>
      <c r="E145" s="26"/>
      <c r="F145" s="26"/>
      <c r="G145" s="26"/>
      <c r="H145" s="26"/>
      <c r="I145" s="26"/>
      <c r="J145" s="26"/>
      <c r="K145" s="26"/>
      <c r="L145" s="26"/>
      <c r="M145" s="119"/>
      <c r="N145" s="26"/>
      <c r="O145" s="26"/>
      <c r="P145" s="26"/>
      <c r="Q145" s="26"/>
      <c r="R145" s="26"/>
      <c r="S145" s="25"/>
    </row>
    <row r="146" spans="1:19" ht="12.75" customHeight="1" x14ac:dyDescent="0.3">
      <c r="A146" s="38"/>
      <c r="B146" s="26" t="s">
        <v>459</v>
      </c>
      <c r="C146" s="23"/>
      <c r="D146" s="26"/>
      <c r="E146" s="26"/>
      <c r="F146" s="26"/>
      <c r="G146" s="26"/>
      <c r="H146" s="26"/>
      <c r="I146" s="26"/>
      <c r="J146" s="26"/>
      <c r="K146" s="26"/>
      <c r="L146" s="26"/>
      <c r="M146" s="119"/>
      <c r="N146" s="26"/>
      <c r="O146" s="26"/>
      <c r="P146" s="26"/>
      <c r="Q146" s="26"/>
      <c r="R146" s="26"/>
      <c r="S146" s="25"/>
    </row>
    <row r="147" spans="1:19" ht="12.75" customHeight="1" x14ac:dyDescent="0.3">
      <c r="A147" s="38" t="s">
        <v>43</v>
      </c>
      <c r="B147" s="26" t="s">
        <v>210</v>
      </c>
      <c r="C147" s="23"/>
      <c r="D147" s="26"/>
      <c r="E147" s="26"/>
      <c r="F147" s="26"/>
      <c r="G147" s="26"/>
      <c r="H147" s="26"/>
      <c r="I147" s="26"/>
      <c r="J147" s="26"/>
      <c r="K147" s="26"/>
      <c r="L147" s="26"/>
      <c r="M147" s="119"/>
      <c r="N147" s="26"/>
      <c r="O147" s="26"/>
      <c r="P147" s="26"/>
      <c r="Q147" s="26"/>
      <c r="R147" s="26"/>
      <c r="S147" s="25"/>
    </row>
    <row r="148" spans="1:19" ht="12.75" customHeight="1" x14ac:dyDescent="0.3">
      <c r="A148" s="38"/>
      <c r="B148" s="26" t="s">
        <v>206</v>
      </c>
      <c r="C148" s="23"/>
      <c r="D148" s="26"/>
      <c r="E148" s="26"/>
      <c r="F148" s="26"/>
      <c r="G148" s="26"/>
      <c r="H148" s="26"/>
      <c r="I148" s="26"/>
      <c r="J148" s="26"/>
      <c r="K148" s="26"/>
      <c r="L148" s="26"/>
      <c r="M148" s="119"/>
      <c r="N148" s="26"/>
      <c r="O148" s="26"/>
      <c r="P148" s="26"/>
      <c r="Q148" s="26"/>
      <c r="R148" s="26"/>
      <c r="S148" s="25"/>
    </row>
    <row r="149" spans="1:19" ht="12.75" customHeight="1" x14ac:dyDescent="0.3">
      <c r="A149" s="38" t="s">
        <v>44</v>
      </c>
      <c r="B149" s="26" t="s">
        <v>245</v>
      </c>
      <c r="C149" s="23"/>
      <c r="D149" s="26"/>
      <c r="E149" s="26"/>
      <c r="F149" s="26"/>
      <c r="G149" s="26"/>
      <c r="H149" s="26"/>
      <c r="I149" s="26"/>
      <c r="J149" s="26"/>
      <c r="K149" s="26"/>
      <c r="L149" s="26"/>
      <c r="M149" s="119"/>
      <c r="N149" s="26"/>
      <c r="O149" s="26"/>
      <c r="P149" s="26"/>
      <c r="Q149" s="26"/>
      <c r="R149" s="26"/>
      <c r="S149" s="25"/>
    </row>
    <row r="150" spans="1:19" ht="12.75" customHeight="1" x14ac:dyDescent="0.3">
      <c r="A150" s="38" t="s">
        <v>45</v>
      </c>
      <c r="B150" s="26" t="s">
        <v>244</v>
      </c>
      <c r="C150" s="23"/>
      <c r="D150" s="26"/>
      <c r="E150" s="26"/>
      <c r="F150" s="26"/>
      <c r="G150" s="26"/>
      <c r="H150" s="26"/>
      <c r="I150" s="26"/>
      <c r="J150" s="26"/>
      <c r="K150" s="26"/>
      <c r="L150" s="26"/>
      <c r="M150" s="119"/>
      <c r="N150" s="26"/>
      <c r="O150" s="26"/>
      <c r="P150" s="26"/>
      <c r="Q150" s="26"/>
      <c r="R150" s="26"/>
      <c r="S150" s="25"/>
    </row>
    <row r="151" spans="1:19" x14ac:dyDescent="0.3">
      <c r="A151" s="38" t="s">
        <v>46</v>
      </c>
      <c r="B151" s="26" t="s">
        <v>12</v>
      </c>
      <c r="C151" s="23"/>
      <c r="D151" s="25"/>
      <c r="E151" s="25"/>
      <c r="F151" s="25"/>
      <c r="G151" s="25"/>
      <c r="H151" s="25"/>
      <c r="I151" s="25"/>
      <c r="J151" s="25"/>
      <c r="K151" s="25"/>
      <c r="L151" s="25"/>
      <c r="M151" s="25"/>
      <c r="N151" s="25"/>
      <c r="O151" s="25"/>
      <c r="P151" s="25"/>
      <c r="Q151" s="25"/>
      <c r="R151" s="25"/>
      <c r="S151" s="25"/>
    </row>
    <row r="152" spans="1:19" x14ac:dyDescent="0.3">
      <c r="A152" s="38" t="s">
        <v>47</v>
      </c>
      <c r="B152" s="3" t="s">
        <v>471</v>
      </c>
    </row>
    <row r="153" spans="1:19" ht="5.25" customHeight="1" x14ac:dyDescent="0.3">
      <c r="A153" s="38"/>
      <c r="B153" s="3"/>
    </row>
    <row r="154" spans="1:19" ht="15.6" x14ac:dyDescent="0.3">
      <c r="A154" s="3"/>
      <c r="B154" s="355" t="s">
        <v>406</v>
      </c>
    </row>
    <row r="155" spans="1:19" x14ac:dyDescent="0.3">
      <c r="A155" s="6"/>
      <c r="B155" s="705" t="s">
        <v>469</v>
      </c>
      <c r="C155" s="706"/>
      <c r="D155" s="707"/>
      <c r="E155" s="106" t="s">
        <v>470</v>
      </c>
      <c r="F155" s="396"/>
      <c r="G155" s="75"/>
      <c r="H155" s="77"/>
      <c r="I155" s="107"/>
      <c r="J155" s="107"/>
      <c r="K155" s="396"/>
      <c r="L155" s="396" t="s">
        <v>333</v>
      </c>
      <c r="M155" s="397"/>
    </row>
    <row r="156" spans="1:19" x14ac:dyDescent="0.3">
      <c r="B156" s="79" t="s">
        <v>158</v>
      </c>
      <c r="C156" s="108"/>
      <c r="D156" s="73"/>
      <c r="E156" s="319" t="s">
        <v>352</v>
      </c>
      <c r="F156" s="5"/>
      <c r="G156" s="5"/>
      <c r="H156" s="108"/>
      <c r="I156" s="108"/>
      <c r="J156" s="316"/>
      <c r="K156" s="60"/>
      <c r="L156" s="60">
        <v>0</v>
      </c>
      <c r="M156" s="66">
        <v>0</v>
      </c>
      <c r="Q156"/>
    </row>
    <row r="157" spans="1:19" x14ac:dyDescent="0.3">
      <c r="B157" s="79"/>
      <c r="C157" s="108"/>
      <c r="D157" s="73"/>
      <c r="E157" s="319" t="s">
        <v>353</v>
      </c>
      <c r="F157" s="5"/>
      <c r="G157" s="5"/>
      <c r="H157" s="108"/>
      <c r="I157" s="108"/>
      <c r="J157" s="316"/>
      <c r="K157" s="60"/>
      <c r="L157" s="60"/>
      <c r="M157" s="66"/>
      <c r="Q157"/>
    </row>
    <row r="158" spans="1:19" x14ac:dyDescent="0.3">
      <c r="B158" s="79"/>
      <c r="C158" s="108"/>
      <c r="D158" s="73"/>
      <c r="E158" s="319" t="s">
        <v>354</v>
      </c>
      <c r="F158" s="5"/>
      <c r="G158" s="5"/>
      <c r="H158" s="108"/>
      <c r="I158" s="108"/>
      <c r="J158" s="316"/>
      <c r="K158" s="60"/>
      <c r="L158" s="60"/>
      <c r="M158" s="66"/>
      <c r="Q158"/>
    </row>
    <row r="159" spans="1:19" x14ac:dyDescent="0.3">
      <c r="B159" s="79"/>
      <c r="C159" s="108"/>
      <c r="D159" s="73"/>
      <c r="E159" s="319" t="s">
        <v>334</v>
      </c>
      <c r="F159" s="5"/>
      <c r="G159" s="5"/>
      <c r="H159" s="108"/>
      <c r="I159" s="108"/>
      <c r="J159" s="316"/>
      <c r="K159" s="60"/>
      <c r="L159" s="60"/>
      <c r="M159" s="66"/>
      <c r="Q159"/>
    </row>
    <row r="160" spans="1:19" x14ac:dyDescent="0.3">
      <c r="B160" s="79"/>
      <c r="C160" s="108"/>
      <c r="D160" s="73"/>
      <c r="E160" s="319" t="s">
        <v>355</v>
      </c>
      <c r="F160" s="5"/>
      <c r="G160" s="5"/>
      <c r="H160" s="108"/>
      <c r="I160" s="108"/>
      <c r="J160" s="316"/>
      <c r="K160" s="60"/>
      <c r="L160" s="60"/>
      <c r="M160" s="66"/>
      <c r="Q160"/>
    </row>
    <row r="161" spans="2:17" x14ac:dyDescent="0.3">
      <c r="B161" s="79"/>
      <c r="C161" s="108"/>
      <c r="D161" s="73"/>
      <c r="E161" s="319" t="s">
        <v>356</v>
      </c>
      <c r="F161" s="5"/>
      <c r="G161" s="5"/>
      <c r="H161" s="108"/>
      <c r="I161" s="108"/>
      <c r="J161" s="316"/>
      <c r="K161" s="60"/>
      <c r="L161" s="60"/>
      <c r="M161" s="66"/>
      <c r="Q161"/>
    </row>
    <row r="162" spans="2:17" x14ac:dyDescent="0.3">
      <c r="B162" s="79"/>
      <c r="C162" s="108"/>
      <c r="D162" s="73"/>
      <c r="E162" s="319" t="s">
        <v>335</v>
      </c>
      <c r="F162" s="5"/>
      <c r="G162" s="5"/>
      <c r="H162" s="108"/>
      <c r="I162" s="108"/>
      <c r="J162" s="316"/>
      <c r="K162" s="60"/>
      <c r="L162" s="60"/>
      <c r="M162" s="66"/>
      <c r="Q162"/>
    </row>
    <row r="163" spans="2:17" x14ac:dyDescent="0.3">
      <c r="B163" s="79"/>
      <c r="C163" s="108"/>
      <c r="D163" s="73"/>
      <c r="E163" s="319" t="s">
        <v>336</v>
      </c>
      <c r="F163" s="5"/>
      <c r="G163" s="5"/>
      <c r="H163" s="108"/>
      <c r="I163" s="108"/>
      <c r="J163" s="316"/>
      <c r="K163" s="60"/>
      <c r="L163" s="60"/>
      <c r="M163" s="66"/>
      <c r="Q163"/>
    </row>
    <row r="164" spans="2:17" x14ac:dyDescent="0.3">
      <c r="B164" s="79"/>
      <c r="C164" s="108"/>
      <c r="D164" s="73"/>
      <c r="E164" s="319" t="s">
        <v>357</v>
      </c>
      <c r="F164" s="5"/>
      <c r="G164" s="5"/>
      <c r="H164" s="108"/>
      <c r="I164" s="108"/>
      <c r="J164" s="316"/>
      <c r="K164" s="60"/>
      <c r="L164" s="60"/>
      <c r="M164" s="66"/>
      <c r="Q164"/>
    </row>
    <row r="165" spans="2:17" x14ac:dyDescent="0.3">
      <c r="B165" s="79"/>
      <c r="C165" s="108"/>
      <c r="D165" s="73"/>
      <c r="E165" s="319" t="s">
        <v>358</v>
      </c>
      <c r="F165" s="5"/>
      <c r="G165" s="5"/>
      <c r="H165" s="108"/>
      <c r="I165" s="108"/>
      <c r="J165" s="316"/>
      <c r="K165" s="60"/>
      <c r="L165" s="60"/>
      <c r="M165" s="66"/>
      <c r="Q165"/>
    </row>
    <row r="166" spans="2:17" x14ac:dyDescent="0.3">
      <c r="B166" s="79"/>
      <c r="C166" s="108"/>
      <c r="D166" s="73"/>
      <c r="E166" s="319" t="s">
        <v>359</v>
      </c>
      <c r="F166" s="5"/>
      <c r="G166" s="5"/>
      <c r="H166" s="108"/>
      <c r="I166" s="108"/>
      <c r="J166" s="316"/>
      <c r="K166" s="60"/>
      <c r="L166" s="60"/>
      <c r="M166" s="66"/>
      <c r="Q166"/>
    </row>
    <row r="167" spans="2:17" x14ac:dyDescent="0.3">
      <c r="B167" s="79"/>
      <c r="C167" s="108"/>
      <c r="D167" s="73"/>
      <c r="E167" s="319" t="s">
        <v>360</v>
      </c>
      <c r="F167" s="5"/>
      <c r="G167" s="5"/>
      <c r="H167" s="108"/>
      <c r="I167" s="108"/>
      <c r="J167" s="316"/>
      <c r="K167" s="60"/>
      <c r="L167" s="60"/>
      <c r="M167" s="66"/>
      <c r="Q167"/>
    </row>
    <row r="168" spans="2:17" x14ac:dyDescent="0.3">
      <c r="B168" s="79"/>
      <c r="C168" s="108"/>
      <c r="D168" s="73"/>
      <c r="E168" s="87" t="s">
        <v>361</v>
      </c>
      <c r="F168" s="5"/>
      <c r="G168" s="5"/>
      <c r="H168" s="108"/>
      <c r="I168" s="108"/>
      <c r="J168" s="316"/>
      <c r="K168" s="60"/>
      <c r="L168" s="60"/>
      <c r="M168" s="66"/>
    </row>
    <row r="169" spans="2:17" x14ac:dyDescent="0.3">
      <c r="B169" s="79"/>
      <c r="C169" s="108"/>
      <c r="D169" s="73"/>
      <c r="E169" s="87" t="s">
        <v>362</v>
      </c>
      <c r="F169" s="5"/>
      <c r="G169" s="5"/>
      <c r="H169" s="108"/>
      <c r="I169" s="108"/>
      <c r="J169" s="316"/>
      <c r="K169" s="60"/>
      <c r="L169" s="60"/>
      <c r="M169" s="66"/>
      <c r="Q169"/>
    </row>
    <row r="170" spans="2:17" x14ac:dyDescent="0.3">
      <c r="B170" s="79"/>
      <c r="C170" s="108"/>
      <c r="D170" s="73"/>
      <c r="E170" s="87" t="s">
        <v>363</v>
      </c>
      <c r="F170" s="5"/>
      <c r="G170" s="5"/>
      <c r="H170" s="108"/>
      <c r="I170" s="108"/>
      <c r="J170" s="316"/>
      <c r="K170" s="60"/>
      <c r="L170" s="60"/>
      <c r="M170" s="66"/>
      <c r="Q170"/>
    </row>
    <row r="171" spans="2:17" x14ac:dyDescent="0.3">
      <c r="B171" s="79"/>
      <c r="C171" s="108"/>
      <c r="D171" s="73"/>
      <c r="E171" s="87" t="s">
        <v>364</v>
      </c>
      <c r="F171" s="5"/>
      <c r="G171" s="5"/>
      <c r="H171" s="108"/>
      <c r="I171" s="108"/>
      <c r="J171" s="316"/>
      <c r="K171" s="60"/>
      <c r="L171" s="60"/>
      <c r="M171" s="66"/>
      <c r="Q171"/>
    </row>
    <row r="172" spans="2:17" x14ac:dyDescent="0.3">
      <c r="B172" s="79"/>
      <c r="C172" s="108"/>
      <c r="D172" s="73"/>
      <c r="E172" s="87" t="s">
        <v>337</v>
      </c>
      <c r="F172" s="5"/>
      <c r="G172" s="5"/>
      <c r="H172" s="108"/>
      <c r="I172" s="108"/>
      <c r="J172" s="316"/>
      <c r="K172" s="60"/>
      <c r="L172" s="60"/>
      <c r="M172" s="66"/>
      <c r="Q172"/>
    </row>
    <row r="173" spans="2:17" x14ac:dyDescent="0.3">
      <c r="B173" s="79"/>
      <c r="C173" s="108"/>
      <c r="D173" s="73"/>
      <c r="E173" s="87" t="s">
        <v>365</v>
      </c>
      <c r="F173" s="5"/>
      <c r="G173" s="5"/>
      <c r="H173" s="108"/>
      <c r="I173" s="108"/>
      <c r="J173" s="316"/>
      <c r="K173" s="60"/>
      <c r="L173" s="60"/>
      <c r="M173" s="66"/>
      <c r="Q173"/>
    </row>
    <row r="174" spans="2:17" x14ac:dyDescent="0.3">
      <c r="B174" s="187" t="s">
        <v>159</v>
      </c>
      <c r="C174" s="188"/>
      <c r="D174" s="189"/>
      <c r="E174" s="336" t="s">
        <v>366</v>
      </c>
      <c r="F174" s="191"/>
      <c r="G174" s="191"/>
      <c r="H174" s="188"/>
      <c r="I174" s="188"/>
      <c r="J174" s="318"/>
      <c r="K174" s="192"/>
      <c r="L174" s="192">
        <v>0.3</v>
      </c>
      <c r="M174" s="193">
        <v>0.3</v>
      </c>
    </row>
    <row r="175" spans="2:17" x14ac:dyDescent="0.3">
      <c r="B175" s="180"/>
      <c r="C175" s="109"/>
      <c r="D175" s="184"/>
      <c r="E175" s="337" t="s">
        <v>367</v>
      </c>
      <c r="F175" s="71"/>
      <c r="G175" s="71"/>
      <c r="H175" s="109"/>
      <c r="I175" s="109"/>
      <c r="J175" s="317"/>
      <c r="K175" s="185"/>
      <c r="L175" s="185"/>
      <c r="M175" s="186"/>
    </row>
    <row r="176" spans="2:17" x14ac:dyDescent="0.3">
      <c r="B176" s="79" t="s">
        <v>163</v>
      </c>
      <c r="C176" s="108"/>
      <c r="D176" s="73"/>
      <c r="E176" s="319" t="s">
        <v>368</v>
      </c>
      <c r="F176" s="5"/>
      <c r="G176" s="5"/>
      <c r="H176" s="108"/>
      <c r="I176" s="108"/>
      <c r="J176" s="316"/>
      <c r="K176" s="60"/>
      <c r="L176" s="60">
        <v>0.8</v>
      </c>
      <c r="M176" s="66">
        <v>0.8</v>
      </c>
    </row>
    <row r="177" spans="2:13" x14ac:dyDescent="0.3">
      <c r="B177" s="181"/>
      <c r="C177" s="109"/>
      <c r="D177" s="184"/>
      <c r="E177" s="337" t="s">
        <v>369</v>
      </c>
      <c r="F177" s="71"/>
      <c r="G177" s="71"/>
      <c r="H177" s="109"/>
      <c r="I177" s="109"/>
      <c r="J177" s="317"/>
      <c r="K177" s="185"/>
      <c r="L177" s="185"/>
      <c r="M177" s="186"/>
    </row>
    <row r="178" spans="2:13" x14ac:dyDescent="0.3">
      <c r="B178" s="79" t="s">
        <v>238</v>
      </c>
      <c r="C178" s="108"/>
      <c r="D178" s="73"/>
      <c r="E178" s="319" t="s">
        <v>370</v>
      </c>
      <c r="F178" s="5"/>
      <c r="G178" s="5"/>
      <c r="H178" s="108"/>
      <c r="I178" s="108"/>
      <c r="J178" s="316"/>
      <c r="K178" s="68"/>
      <c r="L178" s="68">
        <v>0.2</v>
      </c>
      <c r="M178" s="69">
        <v>0.2</v>
      </c>
    </row>
    <row r="179" spans="2:13" x14ac:dyDescent="0.3">
      <c r="B179" s="79"/>
      <c r="C179" s="108"/>
      <c r="D179" s="74"/>
      <c r="E179" s="319" t="s">
        <v>371</v>
      </c>
      <c r="F179" s="5"/>
      <c r="G179" s="5"/>
      <c r="H179" s="108"/>
      <c r="I179" s="108"/>
      <c r="J179" s="316"/>
      <c r="K179" s="68"/>
      <c r="L179" s="68"/>
      <c r="M179" s="69"/>
    </row>
    <row r="180" spans="2:13" x14ac:dyDescent="0.3">
      <c r="B180" s="180"/>
      <c r="C180" s="109"/>
      <c r="D180" s="72"/>
      <c r="E180" s="337" t="s">
        <v>372</v>
      </c>
      <c r="F180" s="71"/>
      <c r="G180" s="71"/>
      <c r="H180" s="109"/>
      <c r="I180" s="109"/>
      <c r="J180" s="317"/>
      <c r="K180" s="182"/>
      <c r="L180" s="182"/>
      <c r="M180" s="183"/>
    </row>
    <row r="181" spans="2:13" x14ac:dyDescent="0.3">
      <c r="B181" s="79" t="s">
        <v>242</v>
      </c>
      <c r="C181" s="108"/>
      <c r="D181" s="74"/>
      <c r="E181" s="319" t="s">
        <v>373</v>
      </c>
      <c r="F181" s="5"/>
      <c r="G181" s="5"/>
      <c r="H181" s="108"/>
      <c r="I181" s="108"/>
      <c r="J181" s="316"/>
      <c r="K181" s="68"/>
      <c r="L181" s="68">
        <v>0.8</v>
      </c>
      <c r="M181" s="69">
        <v>0.8</v>
      </c>
    </row>
    <row r="182" spans="2:13" x14ac:dyDescent="0.3">
      <c r="B182" s="79"/>
      <c r="C182" s="108"/>
      <c r="D182" s="74"/>
      <c r="E182" s="319" t="s">
        <v>374</v>
      </c>
      <c r="F182" s="5"/>
      <c r="G182" s="5"/>
      <c r="H182" s="108"/>
      <c r="I182" s="108"/>
      <c r="J182" s="316"/>
      <c r="K182" s="68"/>
      <c r="L182" s="68"/>
      <c r="M182" s="69"/>
    </row>
    <row r="183" spans="2:13" ht="4.5" customHeight="1" x14ac:dyDescent="0.3">
      <c r="B183" s="70"/>
      <c r="C183" s="109"/>
      <c r="D183" s="72"/>
      <c r="E183" s="70"/>
      <c r="F183" s="71"/>
      <c r="G183" s="71"/>
      <c r="H183" s="109"/>
      <c r="I183" s="109"/>
      <c r="J183" s="71"/>
      <c r="K183" s="71"/>
      <c r="L183" s="71"/>
      <c r="M183" s="72"/>
    </row>
  </sheetData>
  <sheetProtection password="D286" sheet="1" objects="1" scenarios="1" selectLockedCells="1"/>
  <mergeCells count="3">
    <mergeCell ref="C3:N3"/>
    <mergeCell ref="C4:N4"/>
    <mergeCell ref="B155:D155"/>
  </mergeCells>
  <pageMargins left="0.39370078740157483" right="0.27559055118110237" top="0.62992125984251968" bottom="0.98425196850393704" header="0.51181102362204722" footer="0.25"/>
  <pageSetup paperSize="9" scale="83" fitToHeight="0" orientation="portrait" useFirstPageNumber="1" r:id="rId1"/>
  <headerFooter alignWithMargins="0">
    <oddFooter>&amp;CSTW 1</oddFooter>
  </headerFooter>
  <rowBreaks count="1" manualBreakCount="1">
    <brk id="9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D14"/>
  <sheetViews>
    <sheetView view="pageBreakPreview" zoomScaleNormal="100" workbookViewId="0">
      <pane xSplit="1" ySplit="2" topLeftCell="B3" activePane="bottomRight" state="frozen"/>
      <selection activeCell="C3" sqref="C3:N3"/>
      <selection pane="topRight" activeCell="C3" sqref="C3:N3"/>
      <selection pane="bottomLeft" activeCell="C3" sqref="C3:N3"/>
      <selection pane="bottomRight" activeCell="C3" sqref="C3:N3"/>
    </sheetView>
  </sheetViews>
  <sheetFormatPr defaultRowHeight="13.2" x14ac:dyDescent="0.25"/>
  <cols>
    <col min="1" max="1" width="46.5546875" bestFit="1" customWidth="1"/>
    <col min="2" max="2" width="37.44140625" customWidth="1"/>
    <col min="3" max="3" width="36.88671875" customWidth="1"/>
    <col min="4" max="4" width="43.44140625" customWidth="1"/>
  </cols>
  <sheetData>
    <row r="1" spans="1:4" s="1" customFormat="1" ht="20.25" customHeight="1" thickBot="1" x14ac:dyDescent="0.3">
      <c r="A1" s="312" t="s">
        <v>14</v>
      </c>
      <c r="B1" s="118"/>
      <c r="C1" s="118"/>
      <c r="D1" s="118"/>
    </row>
    <row r="2" spans="1:4" ht="21.75" customHeight="1" x14ac:dyDescent="0.25">
      <c r="A2" s="10" t="s">
        <v>124</v>
      </c>
      <c r="B2" s="10" t="s">
        <v>116</v>
      </c>
      <c r="C2" s="10" t="s">
        <v>117</v>
      </c>
      <c r="D2" s="11" t="s">
        <v>118</v>
      </c>
    </row>
    <row r="3" spans="1:4" ht="62.25" customHeight="1" x14ac:dyDescent="0.25">
      <c r="A3" s="12" t="s">
        <v>112</v>
      </c>
      <c r="B3" s="14" t="s">
        <v>125</v>
      </c>
      <c r="C3" s="14" t="s">
        <v>126</v>
      </c>
      <c r="D3" s="15" t="s">
        <v>127</v>
      </c>
    </row>
    <row r="4" spans="1:4" ht="62.25" customHeight="1" x14ac:dyDescent="0.25">
      <c r="A4" s="12" t="s">
        <v>110</v>
      </c>
      <c r="B4" s="14" t="s">
        <v>123</v>
      </c>
      <c r="C4" s="14" t="s">
        <v>123</v>
      </c>
      <c r="D4" s="15" t="s">
        <v>133</v>
      </c>
    </row>
    <row r="5" spans="1:4" ht="62.25" customHeight="1" x14ac:dyDescent="0.25">
      <c r="A5" s="12" t="s">
        <v>100</v>
      </c>
      <c r="B5" s="14" t="s">
        <v>136</v>
      </c>
      <c r="C5" s="14" t="s">
        <v>137</v>
      </c>
      <c r="D5" s="15" t="s">
        <v>132</v>
      </c>
    </row>
    <row r="6" spans="1:4" ht="62.25" customHeight="1" x14ac:dyDescent="0.25">
      <c r="A6" s="12" t="s">
        <v>91</v>
      </c>
      <c r="B6" s="14" t="s">
        <v>123</v>
      </c>
      <c r="C6" s="14" t="s">
        <v>123</v>
      </c>
      <c r="D6" s="15" t="s">
        <v>128</v>
      </c>
    </row>
    <row r="7" spans="1:4" ht="62.25" customHeight="1" x14ac:dyDescent="0.25">
      <c r="A7" s="12" t="s">
        <v>99</v>
      </c>
      <c r="B7" s="14" t="s">
        <v>138</v>
      </c>
      <c r="C7" s="14" t="s">
        <v>139</v>
      </c>
      <c r="D7" s="15" t="s">
        <v>129</v>
      </c>
    </row>
    <row r="8" spans="1:4" ht="62.25" customHeight="1" x14ac:dyDescent="0.25">
      <c r="A8" s="12" t="s">
        <v>113</v>
      </c>
      <c r="B8" s="14" t="s">
        <v>123</v>
      </c>
      <c r="C8" s="14" t="s">
        <v>140</v>
      </c>
      <c r="D8" s="15" t="s">
        <v>123</v>
      </c>
    </row>
    <row r="9" spans="1:4" ht="56.25" customHeight="1" x14ac:dyDescent="0.25">
      <c r="A9" s="17" t="s">
        <v>75</v>
      </c>
      <c r="B9" s="18" t="s">
        <v>123</v>
      </c>
      <c r="C9" s="18" t="s">
        <v>123</v>
      </c>
      <c r="D9" s="30" t="s">
        <v>141</v>
      </c>
    </row>
    <row r="10" spans="1:4" ht="18.75" customHeight="1" x14ac:dyDescent="0.25">
      <c r="A10" s="17"/>
      <c r="B10" s="34"/>
      <c r="C10" s="111"/>
      <c r="D10" s="112"/>
    </row>
    <row r="11" spans="1:4" ht="66.75" customHeight="1" thickBot="1" x14ac:dyDescent="0.3">
      <c r="A11" s="13" t="s">
        <v>130</v>
      </c>
      <c r="B11" s="737" t="s">
        <v>131</v>
      </c>
      <c r="C11" s="738"/>
      <c r="D11" s="739"/>
    </row>
    <row r="14" spans="1:4" ht="13.8" x14ac:dyDescent="0.25">
      <c r="A14" s="16"/>
    </row>
  </sheetData>
  <sheetProtection password="D286" sheet="1"/>
  <mergeCells count="1">
    <mergeCell ref="B11:D11"/>
  </mergeCells>
  <phoneticPr fontId="2" type="noConversion"/>
  <pageMargins left="0.4" right="0.35" top="0.5" bottom="0.48" header="0.5" footer="0.5"/>
  <pageSetup paperSize="9" scale="75" firstPageNumber="7" orientation="landscape" useFirstPageNumber="1" r:id="rId1"/>
  <headerFooter alignWithMargins="0">
    <oddFooter>&amp;CExamples of Common Emission Sources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OVERVIEW</vt:lpstr>
      <vt:lpstr>Instructions</vt:lpstr>
      <vt:lpstr>Emissions</vt:lpstr>
      <vt:lpstr>STW 1</vt:lpstr>
      <vt:lpstr>STW Graphs</vt:lpstr>
      <vt:lpstr>STW Assumptions</vt:lpstr>
      <vt:lpstr>Example</vt:lpstr>
      <vt:lpstr>Example STW</vt:lpstr>
      <vt:lpstr>Emission Source Examples</vt:lpstr>
      <vt:lpstr>STW 2</vt:lpstr>
      <vt:lpstr>STW 3</vt:lpstr>
      <vt:lpstr>STW 4</vt:lpstr>
      <vt:lpstr>STW 5</vt:lpstr>
      <vt:lpstr>STW 6</vt:lpstr>
      <vt:lpstr>STW 7</vt:lpstr>
      <vt:lpstr>STW 8</vt:lpstr>
      <vt:lpstr>STW 9</vt:lpstr>
      <vt:lpstr>STW 10</vt:lpstr>
      <vt:lpstr>'Emission Source Examples'!Print_Area</vt:lpstr>
      <vt:lpstr>Emissions!Print_Area</vt:lpstr>
      <vt:lpstr>Example!Print_Area</vt:lpstr>
      <vt:lpstr>'Example STW'!Print_Area</vt:lpstr>
      <vt:lpstr>Instructions!Print_Area</vt:lpstr>
      <vt:lpstr>OVERVIEW!Print_Area</vt:lpstr>
      <vt:lpstr>'STW 1'!Print_Area</vt:lpstr>
      <vt:lpstr>'STW 10'!Print_Area</vt:lpstr>
      <vt:lpstr>'STW 2'!Print_Area</vt:lpstr>
      <vt:lpstr>'STW 3'!Print_Area</vt:lpstr>
      <vt:lpstr>'STW 4'!Print_Area</vt:lpstr>
      <vt:lpstr>'STW 5'!Print_Area</vt:lpstr>
      <vt:lpstr>'STW 6'!Print_Area</vt:lpstr>
      <vt:lpstr>'STW 7'!Print_Area</vt:lpstr>
      <vt:lpstr>'STW 8'!Print_Area</vt:lpstr>
      <vt:lpstr>'STW 9'!Print_Area</vt:lpstr>
      <vt:lpstr>'STW Assumptions'!Print_Area</vt:lpstr>
      <vt:lpstr>'STW Graphs'!Print_Area</vt:lpstr>
      <vt:lpstr>Emissions!Print_Titles</vt:lpstr>
      <vt:lpstr>Example!Print_Titles</vt:lpstr>
    </vt:vector>
  </TitlesOfParts>
  <Company>Department of Energy, Utilites and Sustainability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GHG Emissions Calculator</dc:title>
  <dc:creator>DPI Water</dc:creator>
  <cp:lastModifiedBy>Juliet Cobb</cp:lastModifiedBy>
  <cp:lastPrinted>2016-11-10T04:44:52Z</cp:lastPrinted>
  <dcterms:created xsi:type="dcterms:W3CDTF">2010-06-01T02:24:51Z</dcterms:created>
  <dcterms:modified xsi:type="dcterms:W3CDTF">2019-08-27T06:15:02Z</dcterms:modified>
</cp:coreProperties>
</file>